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depuser1\Desktop\бюджет\"/>
    </mc:Choice>
  </mc:AlternateContent>
  <bookViews>
    <workbookView xWindow="3720" yWindow="3720" windowWidth="21600" windowHeight="11385"/>
  </bookViews>
  <sheets>
    <sheet name="2025-2027" sheetId="8" r:id="rId1"/>
  </sheets>
  <definedNames>
    <definedName name="_xlnm._FilterDatabase" localSheetId="0" hidden="1">'2025-2027'!$A$6:$K$1036</definedName>
    <definedName name="_xlnm.Print_Area" localSheetId="0">'2025-2027'!$A$1:$H$1036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54" i="8" l="1"/>
  <c r="F844" i="8"/>
  <c r="F168" i="8"/>
  <c r="F676" i="8"/>
  <c r="F673" i="8"/>
  <c r="F638" i="8"/>
  <c r="F622" i="8"/>
  <c r="F607" i="8"/>
  <c r="F602" i="8"/>
  <c r="G307" i="8"/>
  <c r="G177" i="8"/>
  <c r="G841" i="8"/>
  <c r="G431" i="8"/>
  <c r="G430" i="8"/>
  <c r="G389" i="8"/>
  <c r="G388" i="8"/>
  <c r="G387" i="8"/>
  <c r="H289" i="8"/>
  <c r="G289" i="8"/>
  <c r="F289" i="8"/>
  <c r="H285" i="8"/>
  <c r="G285" i="8"/>
  <c r="F285" i="8"/>
  <c r="H288" i="8"/>
  <c r="G288" i="8"/>
  <c r="F288" i="8"/>
  <c r="H279" i="8"/>
  <c r="G279" i="8"/>
  <c r="F279" i="8"/>
  <c r="H683" i="8"/>
  <c r="G683" i="8"/>
  <c r="F683" i="8"/>
  <c r="H682" i="8"/>
  <c r="G682" i="8"/>
  <c r="F682" i="8"/>
  <c r="F270" i="8" l="1"/>
  <c r="F269" i="8" s="1"/>
  <c r="F274" i="8"/>
  <c r="F273" i="8" s="1"/>
  <c r="H274" i="8"/>
  <c r="G274" i="8"/>
  <c r="H273" i="8"/>
  <c r="G273" i="8"/>
  <c r="H270" i="8"/>
  <c r="G270" i="8"/>
  <c r="H269" i="8"/>
  <c r="G269" i="8"/>
  <c r="F98" i="8"/>
  <c r="H94" i="8"/>
  <c r="G94" i="8"/>
  <c r="F94" i="8"/>
  <c r="H93" i="8"/>
  <c r="G93" i="8"/>
  <c r="F93" i="8"/>
  <c r="H91" i="8"/>
  <c r="G91" i="8"/>
  <c r="F91" i="8"/>
  <c r="H90" i="8"/>
  <c r="G90" i="8"/>
  <c r="F90" i="8"/>
  <c r="F25" i="8"/>
  <c r="H21" i="8"/>
  <c r="G21" i="8"/>
  <c r="F21" i="8"/>
  <c r="H20" i="8"/>
  <c r="G20" i="8"/>
  <c r="F20" i="8"/>
  <c r="H18" i="8"/>
  <c r="G18" i="8"/>
  <c r="F18" i="8"/>
  <c r="H17" i="8"/>
  <c r="G17" i="8"/>
  <c r="F17" i="8"/>
  <c r="F822" i="8"/>
  <c r="H600" i="8"/>
  <c r="G600" i="8"/>
  <c r="F600" i="8"/>
  <c r="H652" i="8"/>
  <c r="G652" i="8"/>
  <c r="F652" i="8"/>
  <c r="H649" i="8"/>
  <c r="G649" i="8"/>
  <c r="F649" i="8"/>
  <c r="F794" i="8"/>
  <c r="F1008" i="8" l="1"/>
  <c r="H268" i="8"/>
  <c r="G268" i="8"/>
  <c r="F268" i="8"/>
  <c r="H267" i="8"/>
  <c r="G267" i="8"/>
  <c r="F267" i="8"/>
  <c r="H696" i="8"/>
  <c r="G696" i="8"/>
  <c r="F696" i="8"/>
  <c r="H695" i="8"/>
  <c r="G695" i="8"/>
  <c r="F695" i="8"/>
  <c r="H694" i="8"/>
  <c r="G694" i="8"/>
  <c r="F694" i="8"/>
  <c r="H687" i="8"/>
  <c r="G687" i="8"/>
  <c r="F687" i="8"/>
  <c r="H681" i="8"/>
  <c r="G681" i="8"/>
  <c r="F681" i="8"/>
  <c r="H89" i="8"/>
  <c r="G89" i="8"/>
  <c r="F89" i="8"/>
  <c r="H16" i="8" l="1"/>
  <c r="G16" i="8"/>
  <c r="F16" i="8"/>
  <c r="F343" i="8"/>
  <c r="F320" i="8"/>
  <c r="F929" i="8"/>
  <c r="F725" i="8"/>
  <c r="F13" i="8"/>
  <c r="F951" i="8"/>
  <c r="F314" i="8"/>
  <c r="F231" i="8"/>
  <c r="F228" i="8"/>
  <c r="F214" i="8"/>
  <c r="F198" i="8"/>
  <c r="F174" i="8"/>
  <c r="F171" i="8"/>
  <c r="F163" i="8"/>
  <c r="F107" i="8"/>
  <c r="F101" i="8"/>
  <c r="H87" i="8"/>
  <c r="G87" i="8"/>
  <c r="F87" i="8"/>
  <c r="G905" i="8"/>
  <c r="H905" i="8"/>
  <c r="F124" i="8"/>
  <c r="F82" i="8"/>
  <c r="F79" i="8"/>
  <c r="H74" i="8"/>
  <c r="H73" i="8" s="1"/>
  <c r="H72" i="8" s="1"/>
  <c r="G74" i="8"/>
  <c r="G73" i="8" s="1"/>
  <c r="G72" i="8" s="1"/>
  <c r="F74" i="8"/>
  <c r="F73" i="8" s="1"/>
  <c r="F72" i="8" s="1"/>
  <c r="F68" i="8"/>
  <c r="F62" i="8"/>
  <c r="F59" i="8"/>
  <c r="F841" i="8"/>
  <c r="F906" i="8"/>
  <c r="F905" i="8" s="1"/>
  <c r="F849" i="8"/>
  <c r="F826" i="8"/>
  <c r="F814" i="8"/>
  <c r="F421" i="8"/>
  <c r="F413" i="8"/>
  <c r="F396" i="8"/>
  <c r="F378" i="8"/>
  <c r="F368" i="8"/>
  <c r="F366" i="8"/>
  <c r="F365" i="8"/>
  <c r="F716" i="8" l="1"/>
  <c r="G336" i="8"/>
  <c r="F336" i="8"/>
  <c r="G320" i="8"/>
  <c r="H498" i="8"/>
  <c r="H497" i="8" s="1"/>
  <c r="G498" i="8"/>
  <c r="G497" i="8" s="1"/>
  <c r="F498" i="8"/>
  <c r="F497" i="8" s="1"/>
  <c r="F914" i="8"/>
  <c r="H916" i="8"/>
  <c r="H915" i="8" s="1"/>
  <c r="G916" i="8"/>
  <c r="G915" i="8" s="1"/>
  <c r="F916" i="8"/>
  <c r="F915" i="8" s="1"/>
  <c r="F981" i="8"/>
  <c r="F966" i="8"/>
  <c r="F965" i="8"/>
  <c r="F542" i="8"/>
  <c r="F539" i="8"/>
  <c r="F533" i="8"/>
  <c r="F529" i="8"/>
  <c r="F1034" i="8"/>
  <c r="F1029" i="8"/>
  <c r="F935" i="8"/>
  <c r="H927" i="8"/>
  <c r="G927" i="8"/>
  <c r="H666" i="8"/>
  <c r="G666" i="8"/>
  <c r="F666" i="8"/>
  <c r="G62" i="8"/>
  <c r="F942" i="8"/>
  <c r="F941" i="8"/>
  <c r="H596" i="8"/>
  <c r="H595" i="8" s="1"/>
  <c r="G596" i="8"/>
  <c r="G595" i="8" s="1"/>
  <c r="F596" i="8"/>
  <c r="F595" i="8" s="1"/>
  <c r="H593" i="8"/>
  <c r="H592" i="8" s="1"/>
  <c r="G593" i="8"/>
  <c r="G592" i="8" s="1"/>
  <c r="F593" i="8"/>
  <c r="F592" i="8" s="1"/>
  <c r="H590" i="8"/>
  <c r="H589" i="8" s="1"/>
  <c r="G590" i="8"/>
  <c r="G589" i="8" s="1"/>
  <c r="F590" i="8"/>
  <c r="F589" i="8" s="1"/>
  <c r="H587" i="8"/>
  <c r="H586" i="8" s="1"/>
  <c r="G587" i="8"/>
  <c r="G586" i="8" s="1"/>
  <c r="F587" i="8"/>
  <c r="F586" i="8" s="1"/>
  <c r="H584" i="8"/>
  <c r="H583" i="8" s="1"/>
  <c r="G584" i="8"/>
  <c r="G583" i="8" s="1"/>
  <c r="F584" i="8"/>
  <c r="F583" i="8" s="1"/>
  <c r="H581" i="8"/>
  <c r="H580" i="8" s="1"/>
  <c r="G581" i="8"/>
  <c r="G580" i="8" s="1"/>
  <c r="F581" i="8"/>
  <c r="F580" i="8" s="1"/>
  <c r="F579" i="8"/>
  <c r="F576" i="8"/>
  <c r="F944" i="8"/>
  <c r="H162" i="8"/>
  <c r="H161" i="8" s="1"/>
  <c r="G162" i="8"/>
  <c r="G161" i="8" s="1"/>
  <c r="F162" i="8"/>
  <c r="F161" i="8" s="1"/>
  <c r="H159" i="8"/>
  <c r="H158" i="8" s="1"/>
  <c r="G159" i="8"/>
  <c r="G158" i="8" s="1"/>
  <c r="F159" i="8"/>
  <c r="F158" i="8" s="1"/>
  <c r="F157" i="8"/>
  <c r="F154" i="8"/>
  <c r="F151" i="8"/>
  <c r="F148" i="8"/>
  <c r="F145" i="8"/>
  <c r="F142" i="8"/>
  <c r="F139" i="8"/>
  <c r="F136" i="8"/>
  <c r="F133" i="8"/>
  <c r="F130" i="8"/>
  <c r="F56" i="8"/>
  <c r="F53" i="8"/>
  <c r="F50" i="8"/>
  <c r="F47" i="8"/>
  <c r="F44" i="8"/>
  <c r="F41" i="8"/>
  <c r="F662" i="8"/>
  <c r="F659" i="8"/>
  <c r="H902" i="8"/>
  <c r="H901" i="8" s="1"/>
  <c r="G902" i="8"/>
  <c r="G901" i="8" s="1"/>
  <c r="F902" i="8"/>
  <c r="F901" i="8" s="1"/>
  <c r="H899" i="8"/>
  <c r="H898" i="8" s="1"/>
  <c r="G899" i="8"/>
  <c r="G898" i="8" s="1"/>
  <c r="F899" i="8"/>
  <c r="F898" i="8" s="1"/>
  <c r="H896" i="8"/>
  <c r="H895" i="8" s="1"/>
  <c r="G896" i="8"/>
  <c r="G895" i="8" s="1"/>
  <c r="F896" i="8"/>
  <c r="F895" i="8" s="1"/>
  <c r="H893" i="8"/>
  <c r="H892" i="8" s="1"/>
  <c r="G893" i="8"/>
  <c r="G892" i="8" s="1"/>
  <c r="F893" i="8"/>
  <c r="F892" i="8" s="1"/>
  <c r="F891" i="8"/>
  <c r="F888" i="8"/>
  <c r="F885" i="8"/>
  <c r="F882" i="8"/>
  <c r="F879" i="8"/>
  <c r="F876" i="8"/>
  <c r="F873" i="8"/>
  <c r="F870" i="8"/>
  <c r="F867" i="8"/>
  <c r="F864" i="8"/>
  <c r="F817" i="8"/>
  <c r="F422" i="8"/>
  <c r="F332" i="8"/>
  <c r="F326" i="8"/>
  <c r="F535" i="8"/>
  <c r="F1036" i="8" l="1"/>
  <c r="F1035" i="8" s="1"/>
  <c r="H1035" i="8"/>
  <c r="G1035" i="8"/>
  <c r="F1033" i="8"/>
  <c r="H1033" i="8"/>
  <c r="G1033" i="8"/>
  <c r="H1032" i="8"/>
  <c r="H1031" i="8" s="1"/>
  <c r="G1032" i="8"/>
  <c r="G1031" i="8" s="1"/>
  <c r="F1032" i="8"/>
  <c r="F1031" i="8" s="1"/>
  <c r="H1029" i="8"/>
  <c r="H1028" i="8" s="1"/>
  <c r="G1029" i="8"/>
  <c r="G1028" i="8" s="1"/>
  <c r="F1028" i="8"/>
  <c r="F1027" i="8"/>
  <c r="F1026" i="8"/>
  <c r="H1025" i="8"/>
  <c r="H1024" i="8" s="1"/>
  <c r="G1025" i="8"/>
  <c r="G1024" i="8" s="1"/>
  <c r="F1025" i="8"/>
  <c r="H1021" i="8"/>
  <c r="G1021" i="8"/>
  <c r="F1021" i="8"/>
  <c r="H1020" i="8"/>
  <c r="H1019" i="8" s="1"/>
  <c r="H1018" i="8" s="1"/>
  <c r="G1020" i="8"/>
  <c r="G1019" i="8" s="1"/>
  <c r="G1018" i="8" s="1"/>
  <c r="F1020" i="8"/>
  <c r="F1019" i="8" s="1"/>
  <c r="F1018" i="8" s="1"/>
  <c r="F1017" i="8"/>
  <c r="F1016" i="8" s="1"/>
  <c r="F1015" i="8" s="1"/>
  <c r="H1016" i="8"/>
  <c r="H1015" i="8" s="1"/>
  <c r="G1016" i="8"/>
  <c r="G1015" i="8" s="1"/>
  <c r="H1012" i="8"/>
  <c r="H1011" i="8" s="1"/>
  <c r="G1012" i="8"/>
  <c r="G1011" i="8" s="1"/>
  <c r="F1012" i="8"/>
  <c r="F1011" i="8" s="1"/>
  <c r="H1009" i="8"/>
  <c r="G1009" i="8"/>
  <c r="F1009" i="8"/>
  <c r="H1008" i="8"/>
  <c r="G1008" i="8"/>
  <c r="G1007" i="8" s="1"/>
  <c r="F1007" i="8"/>
  <c r="H1004" i="8"/>
  <c r="H1001" i="8" s="1"/>
  <c r="G1004" i="8"/>
  <c r="G1001" i="8" s="1"/>
  <c r="F1004" i="8"/>
  <c r="F1001" i="8" s="1"/>
  <c r="H1002" i="8"/>
  <c r="G1002" i="8"/>
  <c r="F1002" i="8"/>
  <c r="F1000" i="8"/>
  <c r="F999" i="8" s="1"/>
  <c r="F996" i="8" s="1"/>
  <c r="H999" i="8"/>
  <c r="H996" i="8" s="1"/>
  <c r="G999" i="8"/>
  <c r="G996" i="8" s="1"/>
  <c r="H997" i="8"/>
  <c r="G997" i="8"/>
  <c r="F997" i="8"/>
  <c r="H995" i="8"/>
  <c r="H994" i="8" s="1"/>
  <c r="G995" i="8"/>
  <c r="G994" i="8" s="1"/>
  <c r="F995" i="8"/>
  <c r="F993" i="8" s="1"/>
  <c r="H991" i="8"/>
  <c r="G991" i="8"/>
  <c r="F991" i="8"/>
  <c r="H990" i="8"/>
  <c r="H989" i="8" s="1"/>
  <c r="G990" i="8"/>
  <c r="G989" i="8" s="1"/>
  <c r="F990" i="8"/>
  <c r="F989" i="8" s="1"/>
  <c r="H985" i="8"/>
  <c r="G985" i="8"/>
  <c r="F985" i="8"/>
  <c r="H984" i="8"/>
  <c r="H983" i="8" s="1"/>
  <c r="G984" i="8"/>
  <c r="G983" i="8" s="1"/>
  <c r="F984" i="8"/>
  <c r="F983" i="8" s="1"/>
  <c r="H981" i="8"/>
  <c r="H980" i="8" s="1"/>
  <c r="G981" i="8"/>
  <c r="G980" i="8" s="1"/>
  <c r="F980" i="8"/>
  <c r="H979" i="8"/>
  <c r="H978" i="8" s="1"/>
  <c r="G979" i="8"/>
  <c r="F979" i="8"/>
  <c r="F978" i="8" s="1"/>
  <c r="F976" i="8"/>
  <c r="F975" i="8" s="1"/>
  <c r="H975" i="8"/>
  <c r="G975" i="8"/>
  <c r="H973" i="8"/>
  <c r="G973" i="8"/>
  <c r="F973" i="8"/>
  <c r="H972" i="8"/>
  <c r="H971" i="8" s="1"/>
  <c r="G972" i="8"/>
  <c r="G970" i="8" s="1"/>
  <c r="F972" i="8"/>
  <c r="F970" i="8" s="1"/>
  <c r="F969" i="8"/>
  <c r="F968" i="8" s="1"/>
  <c r="F967" i="8" s="1"/>
  <c r="H968" i="8"/>
  <c r="H967" i="8" s="1"/>
  <c r="G968" i="8"/>
  <c r="G967" i="8" s="1"/>
  <c r="H964" i="8"/>
  <c r="G964" i="8"/>
  <c r="H962" i="8"/>
  <c r="G962" i="8"/>
  <c r="F962" i="8"/>
  <c r="F961" i="8"/>
  <c r="F960" i="8" s="1"/>
  <c r="H960" i="8"/>
  <c r="G960" i="8"/>
  <c r="H959" i="8"/>
  <c r="G959" i="8"/>
  <c r="H956" i="8"/>
  <c r="H955" i="8" s="1"/>
  <c r="G956" i="8"/>
  <c r="G955" i="8" s="1"/>
  <c r="F956" i="8"/>
  <c r="F955" i="8" s="1"/>
  <c r="H954" i="8"/>
  <c r="H953" i="8" s="1"/>
  <c r="H952" i="8" s="1"/>
  <c r="G954" i="8"/>
  <c r="G953" i="8" s="1"/>
  <c r="G952" i="8" s="1"/>
  <c r="F954" i="8"/>
  <c r="F953" i="8" s="1"/>
  <c r="F952" i="8" s="1"/>
  <c r="H950" i="8"/>
  <c r="H949" i="8" s="1"/>
  <c r="G950" i="8"/>
  <c r="G949" i="8" s="1"/>
  <c r="F950" i="8"/>
  <c r="F949" i="8" s="1"/>
  <c r="H947" i="8"/>
  <c r="H946" i="8" s="1"/>
  <c r="G947" i="8"/>
  <c r="G946" i="8" s="1"/>
  <c r="F947" i="8"/>
  <c r="F946" i="8" s="1"/>
  <c r="F934" i="8"/>
  <c r="H933" i="8"/>
  <c r="H937" i="8" s="1"/>
  <c r="H936" i="8" s="1"/>
  <c r="H926" i="8" s="1"/>
  <c r="G933" i="8"/>
  <c r="G937" i="8" s="1"/>
  <c r="G936" i="8" s="1"/>
  <c r="G926" i="8" s="1"/>
  <c r="F932" i="8"/>
  <c r="F931" i="8"/>
  <c r="H944" i="8"/>
  <c r="H943" i="8" s="1"/>
  <c r="G944" i="8"/>
  <c r="G943" i="8" s="1"/>
  <c r="F943" i="8"/>
  <c r="H939" i="8"/>
  <c r="G939" i="8"/>
  <c r="F939" i="8"/>
  <c r="F924" i="8"/>
  <c r="F923" i="8" s="1"/>
  <c r="H923" i="8"/>
  <c r="H920" i="8" s="1"/>
  <c r="H919" i="8" s="1"/>
  <c r="G923" i="8"/>
  <c r="G920" i="8" s="1"/>
  <c r="G919" i="8" s="1"/>
  <c r="H921" i="8"/>
  <c r="G921" i="8"/>
  <c r="F921" i="8"/>
  <c r="H913" i="8"/>
  <c r="H912" i="8" s="1"/>
  <c r="H911" i="8" s="1"/>
  <c r="G913" i="8"/>
  <c r="G912" i="8" s="1"/>
  <c r="F913" i="8"/>
  <c r="F912" i="8" s="1"/>
  <c r="H904" i="8"/>
  <c r="H861" i="8" s="1"/>
  <c r="H860" i="8" s="1"/>
  <c r="F904" i="8"/>
  <c r="G904" i="8"/>
  <c r="G861" i="8" s="1"/>
  <c r="G860" i="8" s="1"/>
  <c r="H890" i="8"/>
  <c r="H889" i="8" s="1"/>
  <c r="G890" i="8"/>
  <c r="G889" i="8" s="1"/>
  <c r="F890" i="8"/>
  <c r="F889" i="8" s="1"/>
  <c r="H887" i="8"/>
  <c r="H886" i="8" s="1"/>
  <c r="G887" i="8"/>
  <c r="G886" i="8" s="1"/>
  <c r="F887" i="8"/>
  <c r="F886" i="8" s="1"/>
  <c r="H884" i="8"/>
  <c r="H883" i="8" s="1"/>
  <c r="G884" i="8"/>
  <c r="G883" i="8" s="1"/>
  <c r="F884" i="8"/>
  <c r="F883" i="8" s="1"/>
  <c r="H881" i="8"/>
  <c r="H880" i="8" s="1"/>
  <c r="G881" i="8"/>
  <c r="G880" i="8" s="1"/>
  <c r="F881" i="8"/>
  <c r="F880" i="8" s="1"/>
  <c r="H878" i="8"/>
  <c r="H877" i="8" s="1"/>
  <c r="G878" i="8"/>
  <c r="G877" i="8" s="1"/>
  <c r="F878" i="8"/>
  <c r="F877" i="8" s="1"/>
  <c r="H875" i="8"/>
  <c r="H874" i="8" s="1"/>
  <c r="G875" i="8"/>
  <c r="G874" i="8" s="1"/>
  <c r="F875" i="8"/>
  <c r="F874" i="8" s="1"/>
  <c r="H872" i="8"/>
  <c r="H871" i="8" s="1"/>
  <c r="G872" i="8"/>
  <c r="G871" i="8" s="1"/>
  <c r="F872" i="8"/>
  <c r="F871" i="8" s="1"/>
  <c r="H869" i="8"/>
  <c r="H868" i="8" s="1"/>
  <c r="G869" i="8"/>
  <c r="G868" i="8" s="1"/>
  <c r="F869" i="8"/>
  <c r="F868" i="8" s="1"/>
  <c r="H866" i="8"/>
  <c r="H865" i="8" s="1"/>
  <c r="G866" i="8"/>
  <c r="G865" i="8" s="1"/>
  <c r="F866" i="8"/>
  <c r="F865" i="8" s="1"/>
  <c r="H863" i="8"/>
  <c r="H862" i="8" s="1"/>
  <c r="G863" i="8"/>
  <c r="G862" i="8" s="1"/>
  <c r="F863" i="8"/>
  <c r="F862" i="8" s="1"/>
  <c r="F859" i="8"/>
  <c r="F858" i="8" s="1"/>
  <c r="F857" i="8" s="1"/>
  <c r="H858" i="8"/>
  <c r="H857" i="8" s="1"/>
  <c r="G858" i="8"/>
  <c r="G857" i="8" s="1"/>
  <c r="H855" i="8"/>
  <c r="H852" i="8" s="1"/>
  <c r="G855" i="8"/>
  <c r="G852" i="8" s="1"/>
  <c r="F855" i="8"/>
  <c r="F853" i="8"/>
  <c r="H853" i="8"/>
  <c r="G853" i="8"/>
  <c r="F851" i="8"/>
  <c r="F850" i="8" s="1"/>
  <c r="H850" i="8"/>
  <c r="G850" i="8"/>
  <c r="F848" i="8"/>
  <c r="H848" i="8"/>
  <c r="G848" i="8"/>
  <c r="H845" i="8"/>
  <c r="G845" i="8"/>
  <c r="F845" i="8"/>
  <c r="H844" i="8"/>
  <c r="H843" i="8" s="1"/>
  <c r="G844" i="8"/>
  <c r="G843" i="8" s="1"/>
  <c r="F843" i="8"/>
  <c r="G840" i="8"/>
  <c r="G839" i="8" s="1"/>
  <c r="F840" i="8"/>
  <c r="F839" i="8" s="1"/>
  <c r="H840" i="8"/>
  <c r="H839" i="8" s="1"/>
  <c r="H837" i="8"/>
  <c r="H836" i="8" s="1"/>
  <c r="H835" i="8" s="1"/>
  <c r="G837" i="8"/>
  <c r="G836" i="8" s="1"/>
  <c r="G835" i="8" s="1"/>
  <c r="F836" i="8"/>
  <c r="F835" i="8" s="1"/>
  <c r="F834" i="8"/>
  <c r="F833" i="8" s="1"/>
  <c r="F832" i="8" s="1"/>
  <c r="H833" i="8"/>
  <c r="H832" i="8" s="1"/>
  <c r="G833" i="8"/>
  <c r="G832" i="8" s="1"/>
  <c r="H830" i="8"/>
  <c r="G830" i="8"/>
  <c r="F830" i="8"/>
  <c r="H829" i="8"/>
  <c r="G829" i="8"/>
  <c r="F829" i="8"/>
  <c r="H826" i="8"/>
  <c r="H825" i="8" s="1"/>
  <c r="H824" i="8" s="1"/>
  <c r="H823" i="8" s="1"/>
  <c r="G826" i="8"/>
  <c r="G825" i="8" s="1"/>
  <c r="G824" i="8" s="1"/>
  <c r="G823" i="8" s="1"/>
  <c r="F825" i="8"/>
  <c r="F824" i="8" s="1"/>
  <c r="F823" i="8" s="1"/>
  <c r="F821" i="8"/>
  <c r="F820" i="8" s="1"/>
  <c r="H821" i="8"/>
  <c r="H820" i="8" s="1"/>
  <c r="G821" i="8"/>
  <c r="G820" i="8" s="1"/>
  <c r="H818" i="8"/>
  <c r="H815" i="8" s="1"/>
  <c r="G818" i="8"/>
  <c r="G815" i="8" s="1"/>
  <c r="F818" i="8"/>
  <c r="H816" i="8"/>
  <c r="G816" i="8"/>
  <c r="F816" i="8"/>
  <c r="F813" i="8"/>
  <c r="H813" i="8"/>
  <c r="G813" i="8"/>
  <c r="H812" i="8"/>
  <c r="G812" i="8"/>
  <c r="H810" i="8"/>
  <c r="G810" i="8"/>
  <c r="F810" i="8"/>
  <c r="H809" i="8"/>
  <c r="G809" i="8"/>
  <c r="F809" i="8"/>
  <c r="H804" i="8"/>
  <c r="H803" i="8" s="1"/>
  <c r="G804" i="8"/>
  <c r="G803" i="8" s="1"/>
  <c r="G801" i="8" s="1"/>
  <c r="G800" i="8" s="1"/>
  <c r="F804" i="8"/>
  <c r="F803" i="8" s="1"/>
  <c r="F802" i="8" s="1"/>
  <c r="H798" i="8"/>
  <c r="H797" i="8" s="1"/>
  <c r="G798" i="8"/>
  <c r="G797" i="8" s="1"/>
  <c r="F798" i="8"/>
  <c r="F797" i="8" s="1"/>
  <c r="H793" i="8"/>
  <c r="H792" i="8" s="1"/>
  <c r="G793" i="8"/>
  <c r="G792" i="8" s="1"/>
  <c r="F793" i="8"/>
  <c r="F792" i="8" s="1"/>
  <c r="H790" i="8"/>
  <c r="H789" i="8" s="1"/>
  <c r="G790" i="8"/>
  <c r="G789" i="8" s="1"/>
  <c r="F790" i="8"/>
  <c r="F789" i="8" s="1"/>
  <c r="F786" i="8"/>
  <c r="F785" i="8" s="1"/>
  <c r="F784" i="8" s="1"/>
  <c r="H785" i="8"/>
  <c r="H784" i="8" s="1"/>
  <c r="G785" i="8"/>
  <c r="G784" i="8" s="1"/>
  <c r="F783" i="8"/>
  <c r="F782" i="8" s="1"/>
  <c r="F781" i="8" s="1"/>
  <c r="H782" i="8"/>
  <c r="H781" i="8" s="1"/>
  <c r="G782" i="8"/>
  <c r="G781" i="8" s="1"/>
  <c r="F777" i="8"/>
  <c r="F776" i="8" s="1"/>
  <c r="F775" i="8" s="1"/>
  <c r="F774" i="8" s="1"/>
  <c r="H776" i="8"/>
  <c r="H775" i="8" s="1"/>
  <c r="H774" i="8" s="1"/>
  <c r="H772" i="8" s="1"/>
  <c r="G776" i="8"/>
  <c r="G775" i="8" s="1"/>
  <c r="G774" i="8" s="1"/>
  <c r="G773" i="8" s="1"/>
  <c r="H770" i="8"/>
  <c r="H769" i="8" s="1"/>
  <c r="H768" i="8" s="1"/>
  <c r="G770" i="8"/>
  <c r="G769" i="8" s="1"/>
  <c r="G768" i="8" s="1"/>
  <c r="F770" i="8"/>
  <c r="F769" i="8" s="1"/>
  <c r="F768" i="8" s="1"/>
  <c r="H766" i="8"/>
  <c r="H765" i="8" s="1"/>
  <c r="H764" i="8" s="1"/>
  <c r="G766" i="8"/>
  <c r="G765" i="8" s="1"/>
  <c r="G764" i="8" s="1"/>
  <c r="F766" i="8"/>
  <c r="F765" i="8" s="1"/>
  <c r="F764" i="8" s="1"/>
  <c r="F763" i="8"/>
  <c r="F762" i="8" s="1"/>
  <c r="F761" i="8" s="1"/>
  <c r="F760" i="8" s="1"/>
  <c r="H762" i="8"/>
  <c r="H761" i="8" s="1"/>
  <c r="H760" i="8" s="1"/>
  <c r="G762" i="8"/>
  <c r="G761" i="8" s="1"/>
  <c r="G760" i="8" s="1"/>
  <c r="H758" i="8"/>
  <c r="G758" i="8"/>
  <c r="F758" i="8"/>
  <c r="H757" i="8"/>
  <c r="H756" i="8" s="1"/>
  <c r="G757" i="8"/>
  <c r="G756" i="8" s="1"/>
  <c r="F757" i="8"/>
  <c r="F756" i="8" s="1"/>
  <c r="F753" i="8"/>
  <c r="F752" i="8" s="1"/>
  <c r="F751" i="8" s="1"/>
  <c r="H752" i="8"/>
  <c r="H751" i="8" s="1"/>
  <c r="G752" i="8"/>
  <c r="G751" i="8" s="1"/>
  <c r="F750" i="8"/>
  <c r="F749" i="8" s="1"/>
  <c r="F748" i="8" s="1"/>
  <c r="H749" i="8"/>
  <c r="H748" i="8" s="1"/>
  <c r="G749" i="8"/>
  <c r="G748" i="8" s="1"/>
  <c r="H747" i="8"/>
  <c r="H746" i="8" s="1"/>
  <c r="H745" i="8" s="1"/>
  <c r="G747" i="8"/>
  <c r="G746" i="8" s="1"/>
  <c r="G745" i="8" s="1"/>
  <c r="F747" i="8"/>
  <c r="F746" i="8" s="1"/>
  <c r="F745" i="8" s="1"/>
  <c r="H741" i="8"/>
  <c r="H740" i="8" s="1"/>
  <c r="H739" i="8" s="1"/>
  <c r="G741" i="8"/>
  <c r="G740" i="8" s="1"/>
  <c r="G739" i="8" s="1"/>
  <c r="F741" i="8"/>
  <c r="F740" i="8" s="1"/>
  <c r="F739" i="8" s="1"/>
  <c r="F738" i="8"/>
  <c r="F737" i="8" s="1"/>
  <c r="F736" i="8" s="1"/>
  <c r="F735" i="8" s="1"/>
  <c r="H737" i="8"/>
  <c r="H736" i="8" s="1"/>
  <c r="G737" i="8"/>
  <c r="G736" i="8" s="1"/>
  <c r="H731" i="8"/>
  <c r="G731" i="8"/>
  <c r="F731" i="8"/>
  <c r="H730" i="8"/>
  <c r="G730" i="8"/>
  <c r="F730" i="8"/>
  <c r="H728" i="8"/>
  <c r="G728" i="8"/>
  <c r="F728" i="8"/>
  <c r="H727" i="8"/>
  <c r="G727" i="8"/>
  <c r="F727" i="8"/>
  <c r="H725" i="8"/>
  <c r="H724" i="8" s="1"/>
  <c r="G725" i="8"/>
  <c r="G724" i="8" s="1"/>
  <c r="F724" i="8"/>
  <c r="H721" i="8"/>
  <c r="H720" i="8" s="1"/>
  <c r="G721" i="8"/>
  <c r="G720" i="8" s="1"/>
  <c r="F721" i="8"/>
  <c r="F720" i="8" s="1"/>
  <c r="H715" i="8"/>
  <c r="G715" i="8"/>
  <c r="F715" i="8"/>
  <c r="H714" i="8"/>
  <c r="H713" i="8" s="1"/>
  <c r="G714" i="8"/>
  <c r="G713" i="8" s="1"/>
  <c r="F714" i="8"/>
  <c r="F713" i="8" s="1"/>
  <c r="H712" i="8"/>
  <c r="G712" i="8"/>
  <c r="F712" i="8"/>
  <c r="H710" i="8"/>
  <c r="G710" i="8"/>
  <c r="F710" i="8"/>
  <c r="H709" i="8"/>
  <c r="H708" i="8" s="1"/>
  <c r="G709" i="8"/>
  <c r="G708" i="8" s="1"/>
  <c r="F709" i="8"/>
  <c r="F708" i="8" s="1"/>
  <c r="H707" i="8"/>
  <c r="G707" i="8"/>
  <c r="F707" i="8"/>
  <c r="H704" i="8"/>
  <c r="H703" i="8" s="1"/>
  <c r="H702" i="8" s="1"/>
  <c r="G704" i="8"/>
  <c r="G703" i="8" s="1"/>
  <c r="F704" i="8"/>
  <c r="F703" i="8" s="1"/>
  <c r="F700" i="8"/>
  <c r="F699" i="8" s="1"/>
  <c r="F698" i="8" s="1"/>
  <c r="H699" i="8"/>
  <c r="H698" i="8" s="1"/>
  <c r="G699" i="8"/>
  <c r="G698" i="8" s="1"/>
  <c r="H693" i="8"/>
  <c r="G693" i="8"/>
  <c r="F693" i="8"/>
  <c r="H692" i="8"/>
  <c r="G692" i="8"/>
  <c r="F692" i="8"/>
  <c r="H690" i="8"/>
  <c r="G690" i="8"/>
  <c r="F690" i="8"/>
  <c r="F689" i="8"/>
  <c r="F688" i="8" s="1"/>
  <c r="H688" i="8"/>
  <c r="G688" i="8"/>
  <c r="H686" i="8"/>
  <c r="G686" i="8"/>
  <c r="F686" i="8"/>
  <c r="H680" i="8"/>
  <c r="G680" i="8"/>
  <c r="F680" i="8"/>
  <c r="H679" i="8"/>
  <c r="G679" i="8"/>
  <c r="F679" i="8"/>
  <c r="H675" i="8"/>
  <c r="H674" i="8" s="1"/>
  <c r="G675" i="8"/>
  <c r="G674" i="8" s="1"/>
  <c r="F675" i="8"/>
  <c r="F674" i="8" s="1"/>
  <c r="H672" i="8"/>
  <c r="H671" i="8" s="1"/>
  <c r="G672" i="8"/>
  <c r="G671" i="8" s="1"/>
  <c r="F672" i="8"/>
  <c r="F671" i="8" s="1"/>
  <c r="H668" i="8"/>
  <c r="H665" i="8" s="1"/>
  <c r="H664" i="8" s="1"/>
  <c r="G668" i="8"/>
  <c r="G665" i="8" s="1"/>
  <c r="G664" i="8" s="1"/>
  <c r="F668" i="8"/>
  <c r="H661" i="8"/>
  <c r="H660" i="8" s="1"/>
  <c r="G661" i="8"/>
  <c r="G660" i="8" s="1"/>
  <c r="F661" i="8"/>
  <c r="F660" i="8" s="1"/>
  <c r="H658" i="8"/>
  <c r="H657" i="8" s="1"/>
  <c r="G658" i="8"/>
  <c r="G657" i="8" s="1"/>
  <c r="F658" i="8"/>
  <c r="F657" i="8" s="1"/>
  <c r="H655" i="8"/>
  <c r="H654" i="8" s="1"/>
  <c r="G655" i="8"/>
  <c r="G654" i="8" s="1"/>
  <c r="F655" i="8"/>
  <c r="F654" i="8" s="1"/>
  <c r="H651" i="8"/>
  <c r="G650" i="8"/>
  <c r="F651" i="8"/>
  <c r="G651" i="8"/>
  <c r="F650" i="8"/>
  <c r="H648" i="8"/>
  <c r="G648" i="8"/>
  <c r="F648" i="8"/>
  <c r="H647" i="8"/>
  <c r="G647" i="8"/>
  <c r="F647" i="8"/>
  <c r="H644" i="8"/>
  <c r="H643" i="8" s="1"/>
  <c r="G644" i="8"/>
  <c r="G643" i="8" s="1"/>
  <c r="F644" i="8"/>
  <c r="F643" i="8" s="1"/>
  <c r="H641" i="8"/>
  <c r="H640" i="8" s="1"/>
  <c r="G641" i="8"/>
  <c r="G640" i="8" s="1"/>
  <c r="F641" i="8"/>
  <c r="F640" i="8" s="1"/>
  <c r="F636" i="8"/>
  <c r="F635" i="8" s="1"/>
  <c r="F634" i="8" s="1"/>
  <c r="H636" i="8"/>
  <c r="H635" i="8" s="1"/>
  <c r="H634" i="8" s="1"/>
  <c r="G636" i="8"/>
  <c r="G635" i="8" s="1"/>
  <c r="G634" i="8" s="1"/>
  <c r="H632" i="8"/>
  <c r="H631" i="8" s="1"/>
  <c r="G632" i="8"/>
  <c r="G631" i="8" s="1"/>
  <c r="F632" i="8"/>
  <c r="F631" i="8" s="1"/>
  <c r="H629" i="8"/>
  <c r="H628" i="8" s="1"/>
  <c r="G629" i="8"/>
  <c r="G628" i="8" s="1"/>
  <c r="F629" i="8"/>
  <c r="F628" i="8" s="1"/>
  <c r="H626" i="8"/>
  <c r="H625" i="8" s="1"/>
  <c r="G626" i="8"/>
  <c r="G625" i="8" s="1"/>
  <c r="F626" i="8"/>
  <c r="F625" i="8" s="1"/>
  <c r="H623" i="8"/>
  <c r="H618" i="8" s="1"/>
  <c r="G623" i="8"/>
  <c r="F623" i="8"/>
  <c r="F621" i="8"/>
  <c r="H621" i="8"/>
  <c r="G621" i="8"/>
  <c r="H619" i="8"/>
  <c r="G619" i="8"/>
  <c r="F619" i="8"/>
  <c r="G618" i="8"/>
  <c r="F618" i="8"/>
  <c r="H615" i="8"/>
  <c r="H614" i="8" s="1"/>
  <c r="G615" i="8"/>
  <c r="G614" i="8" s="1"/>
  <c r="F615" i="8"/>
  <c r="F614" i="8" s="1"/>
  <c r="F613" i="8"/>
  <c r="F612" i="8" s="1"/>
  <c r="F611" i="8" s="1"/>
  <c r="H612" i="8"/>
  <c r="H611" i="8" s="1"/>
  <c r="G612" i="8"/>
  <c r="G611" i="8" s="1"/>
  <c r="H609" i="8"/>
  <c r="H608" i="8" s="1"/>
  <c r="G609" i="8"/>
  <c r="G608" i="8" s="1"/>
  <c r="F609" i="8"/>
  <c r="F608" i="8" s="1"/>
  <c r="H607" i="8"/>
  <c r="H606" i="8" s="1"/>
  <c r="H605" i="8" s="1"/>
  <c r="G607" i="8"/>
  <c r="G606" i="8" s="1"/>
  <c r="G605" i="8" s="1"/>
  <c r="F606" i="8"/>
  <c r="F605" i="8" s="1"/>
  <c r="F604" i="8"/>
  <c r="F603" i="8" s="1"/>
  <c r="H603" i="8"/>
  <c r="G603" i="8"/>
  <c r="F601" i="8"/>
  <c r="H601" i="8"/>
  <c r="G601" i="8"/>
  <c r="H599" i="8"/>
  <c r="G599" i="8"/>
  <c r="F599" i="8"/>
  <c r="H578" i="8"/>
  <c r="H577" i="8" s="1"/>
  <c r="G578" i="8"/>
  <c r="G577" i="8" s="1"/>
  <c r="F578" i="8"/>
  <c r="F577" i="8" s="1"/>
  <c r="H575" i="8"/>
  <c r="H574" i="8" s="1"/>
  <c r="G575" i="8"/>
  <c r="G574" i="8" s="1"/>
  <c r="F575" i="8"/>
  <c r="F574" i="8" s="1"/>
  <c r="H572" i="8"/>
  <c r="H571" i="8" s="1"/>
  <c r="G572" i="8"/>
  <c r="G571" i="8" s="1"/>
  <c r="F572" i="8"/>
  <c r="F571" i="8" s="1"/>
  <c r="H569" i="8"/>
  <c r="H568" i="8" s="1"/>
  <c r="G569" i="8"/>
  <c r="G568" i="8" s="1"/>
  <c r="F569" i="8"/>
  <c r="F568" i="8" s="1"/>
  <c r="H566" i="8"/>
  <c r="H565" i="8" s="1"/>
  <c r="G566" i="8"/>
  <c r="G565" i="8" s="1"/>
  <c r="F566" i="8"/>
  <c r="F565" i="8" s="1"/>
  <c r="H563" i="8"/>
  <c r="H562" i="8" s="1"/>
  <c r="G563" i="8"/>
  <c r="G562" i="8" s="1"/>
  <c r="F563" i="8"/>
  <c r="F562" i="8" s="1"/>
  <c r="F558" i="8"/>
  <c r="F557" i="8" s="1"/>
  <c r="F556" i="8" s="1"/>
  <c r="F555" i="8" s="1"/>
  <c r="H557" i="8"/>
  <c r="H556" i="8" s="1"/>
  <c r="H555" i="8" s="1"/>
  <c r="G557" i="8"/>
  <c r="G556" i="8" s="1"/>
  <c r="G555" i="8" s="1"/>
  <c r="F554" i="8"/>
  <c r="F553" i="8" s="1"/>
  <c r="F552" i="8" s="1"/>
  <c r="H553" i="8"/>
  <c r="H552" i="8" s="1"/>
  <c r="G553" i="8"/>
  <c r="G552" i="8" s="1"/>
  <c r="H550" i="8"/>
  <c r="G550" i="8"/>
  <c r="F550" i="8"/>
  <c r="H549" i="8"/>
  <c r="G549" i="8"/>
  <c r="F549" i="8"/>
  <c r="F546" i="8"/>
  <c r="F545" i="8" s="1"/>
  <c r="F544" i="8" s="1"/>
  <c r="F543" i="8" s="1"/>
  <c r="H545" i="8"/>
  <c r="H544" i="8" s="1"/>
  <c r="H543" i="8" s="1"/>
  <c r="G545" i="8"/>
  <c r="G544" i="8" s="1"/>
  <c r="G543" i="8" s="1"/>
  <c r="G542" i="8"/>
  <c r="G541" i="8" s="1"/>
  <c r="G540" i="8" s="1"/>
  <c r="F541" i="8"/>
  <c r="F540" i="8" s="1"/>
  <c r="H541" i="8"/>
  <c r="H540" i="8" s="1"/>
  <c r="H538" i="8"/>
  <c r="H537" i="8" s="1"/>
  <c r="G538" i="8"/>
  <c r="G537" i="8" s="1"/>
  <c r="F538" i="8"/>
  <c r="F537" i="8" s="1"/>
  <c r="H534" i="8"/>
  <c r="G534" i="8"/>
  <c r="F534" i="8"/>
  <c r="H532" i="8"/>
  <c r="H531" i="8" s="1"/>
  <c r="H530" i="8" s="1"/>
  <c r="G532" i="8"/>
  <c r="G531" i="8" s="1"/>
  <c r="G530" i="8" s="1"/>
  <c r="F532" i="8"/>
  <c r="F528" i="8"/>
  <c r="F527" i="8" s="1"/>
  <c r="F526" i="8" s="1"/>
  <c r="H528" i="8"/>
  <c r="H527" i="8" s="1"/>
  <c r="H526" i="8" s="1"/>
  <c r="G528" i="8"/>
  <c r="G527" i="8" s="1"/>
  <c r="G526" i="8" s="1"/>
  <c r="F525" i="8"/>
  <c r="F524" i="8" s="1"/>
  <c r="F523" i="8" s="1"/>
  <c r="F522" i="8" s="1"/>
  <c r="H524" i="8"/>
  <c r="H523" i="8" s="1"/>
  <c r="H522" i="8" s="1"/>
  <c r="G524" i="8"/>
  <c r="G523" i="8" s="1"/>
  <c r="G522" i="8" s="1"/>
  <c r="H519" i="8"/>
  <c r="H518" i="8" s="1"/>
  <c r="G519" i="8"/>
  <c r="G518" i="8" s="1"/>
  <c r="F519" i="8"/>
  <c r="F518" i="8" s="1"/>
  <c r="H516" i="8"/>
  <c r="H515" i="8" s="1"/>
  <c r="G516" i="8"/>
  <c r="G515" i="8" s="1"/>
  <c r="F516" i="8"/>
  <c r="F515" i="8" s="1"/>
  <c r="F514" i="8"/>
  <c r="F513" i="8" s="1"/>
  <c r="F512" i="8" s="1"/>
  <c r="H513" i="8"/>
  <c r="H512" i="8" s="1"/>
  <c r="H511" i="8" s="1"/>
  <c r="G513" i="8"/>
  <c r="G512" i="8" s="1"/>
  <c r="G511" i="8" s="1"/>
  <c r="F510" i="8"/>
  <c r="F508" i="8" s="1"/>
  <c r="F507" i="8" s="1"/>
  <c r="H509" i="8"/>
  <c r="G509" i="8"/>
  <c r="H508" i="8"/>
  <c r="H507" i="8" s="1"/>
  <c r="G508" i="8"/>
  <c r="G507" i="8" s="1"/>
  <c r="F506" i="8"/>
  <c r="F505" i="8" s="1"/>
  <c r="H505" i="8"/>
  <c r="G505" i="8"/>
  <c r="H504" i="8"/>
  <c r="H503" i="8" s="1"/>
  <c r="G504" i="8"/>
  <c r="G503" i="8" s="1"/>
  <c r="H501" i="8"/>
  <c r="H500" i="8" s="1"/>
  <c r="G501" i="8"/>
  <c r="G500" i="8" s="1"/>
  <c r="F501" i="8"/>
  <c r="F500" i="8" s="1"/>
  <c r="H496" i="8"/>
  <c r="H495" i="8" s="1"/>
  <c r="G496" i="8"/>
  <c r="G495" i="8" s="1"/>
  <c r="F496" i="8"/>
  <c r="F495" i="8" s="1"/>
  <c r="H489" i="8"/>
  <c r="H488" i="8" s="1"/>
  <c r="H487" i="8" s="1"/>
  <c r="G489" i="8"/>
  <c r="G488" i="8" s="1"/>
  <c r="G487" i="8" s="1"/>
  <c r="F489" i="8"/>
  <c r="F488" i="8" s="1"/>
  <c r="F487" i="8" s="1"/>
  <c r="H486" i="8"/>
  <c r="H485" i="8" s="1"/>
  <c r="H484" i="8" s="1"/>
  <c r="H483" i="8" s="1"/>
  <c r="G486" i="8"/>
  <c r="G485" i="8" s="1"/>
  <c r="G484" i="8" s="1"/>
  <c r="G483" i="8" s="1"/>
  <c r="F486" i="8"/>
  <c r="F485" i="8" s="1"/>
  <c r="F484" i="8" s="1"/>
  <c r="F483" i="8" s="1"/>
  <c r="H481" i="8"/>
  <c r="H412" i="8" s="1"/>
  <c r="H411" i="8" s="1"/>
  <c r="H410" i="8" s="1"/>
  <c r="G466" i="8"/>
  <c r="G443" i="8"/>
  <c r="F443" i="8"/>
  <c r="F442" i="8"/>
  <c r="F438" i="8"/>
  <c r="F437" i="8"/>
  <c r="F436" i="8"/>
  <c r="F435" i="8"/>
  <c r="F434" i="8"/>
  <c r="F433" i="8"/>
  <c r="G432" i="8"/>
  <c r="F432" i="8"/>
  <c r="F431" i="8"/>
  <c r="F430" i="8"/>
  <c r="F429" i="8"/>
  <c r="F428" i="8"/>
  <c r="F427" i="8"/>
  <c r="F426" i="8"/>
  <c r="F425" i="8"/>
  <c r="G420" i="8"/>
  <c r="F420" i="8"/>
  <c r="G419" i="8"/>
  <c r="F419" i="8"/>
  <c r="F418" i="8"/>
  <c r="F417" i="8"/>
  <c r="F416" i="8"/>
  <c r="F414" i="8"/>
  <c r="H408" i="8"/>
  <c r="H407" i="8" s="1"/>
  <c r="H406" i="8" s="1"/>
  <c r="G408" i="8"/>
  <c r="G407" i="8" s="1"/>
  <c r="G406" i="8" s="1"/>
  <c r="F408" i="8"/>
  <c r="F407" i="8" s="1"/>
  <c r="F406" i="8" s="1"/>
  <c r="F404" i="8"/>
  <c r="F403" i="8" s="1"/>
  <c r="F402" i="8" s="1"/>
  <c r="H398" i="8"/>
  <c r="H397" i="8" s="1"/>
  <c r="G398" i="8"/>
  <c r="G397" i="8" s="1"/>
  <c r="F398" i="8"/>
  <c r="F397" i="8" s="1"/>
  <c r="H395" i="8"/>
  <c r="H394" i="8" s="1"/>
  <c r="G395" i="8"/>
  <c r="G394" i="8" s="1"/>
  <c r="F395" i="8"/>
  <c r="F394" i="8" s="1"/>
  <c r="H389" i="8"/>
  <c r="H386" i="8" s="1"/>
  <c r="H385" i="8" s="1"/>
  <c r="F389" i="8"/>
  <c r="F386" i="8" s="1"/>
  <c r="F385" i="8" s="1"/>
  <c r="F384" i="8"/>
  <c r="F383" i="8" s="1"/>
  <c r="H383" i="8"/>
  <c r="G383" i="8"/>
  <c r="F381" i="8"/>
  <c r="F380" i="8"/>
  <c r="F379" i="8"/>
  <c r="G378" i="8"/>
  <c r="G377" i="8"/>
  <c r="F377" i="8"/>
  <c r="G376" i="8"/>
  <c r="F376" i="8"/>
  <c r="F375" i="8"/>
  <c r="F374" i="8"/>
  <c r="F373" i="8"/>
  <c r="F372" i="8"/>
  <c r="F370" i="8"/>
  <c r="G367" i="8"/>
  <c r="F367" i="8"/>
  <c r="G366" i="8"/>
  <c r="G365" i="8"/>
  <c r="H364" i="8"/>
  <c r="H363" i="8" s="1"/>
  <c r="G362" i="8"/>
  <c r="G361" i="8" s="1"/>
  <c r="F362" i="8"/>
  <c r="F361" i="8" s="1"/>
  <c r="H361" i="8"/>
  <c r="H355" i="8"/>
  <c r="G355" i="8"/>
  <c r="F355" i="8"/>
  <c r="H354" i="8"/>
  <c r="H353" i="8" s="1"/>
  <c r="H352" i="8" s="1"/>
  <c r="G354" i="8"/>
  <c r="G353" i="8" s="1"/>
  <c r="G352" i="8" s="1"/>
  <c r="F354" i="8"/>
  <c r="F353" i="8" s="1"/>
  <c r="F352" i="8" s="1"/>
  <c r="H351" i="8"/>
  <c r="H349" i="8" s="1"/>
  <c r="G351" i="8"/>
  <c r="G350" i="8" s="1"/>
  <c r="F351" i="8"/>
  <c r="F350" i="8" s="1"/>
  <c r="H347" i="8"/>
  <c r="G347" i="8"/>
  <c r="F347" i="8"/>
  <c r="H346" i="8"/>
  <c r="G346" i="8"/>
  <c r="F346" i="8"/>
  <c r="F341" i="8"/>
  <c r="H342" i="8"/>
  <c r="G342" i="8"/>
  <c r="H341" i="8"/>
  <c r="G341" i="8"/>
  <c r="F340" i="8"/>
  <c r="F338" i="8" s="1"/>
  <c r="H339" i="8"/>
  <c r="G339" i="8"/>
  <c r="H338" i="8"/>
  <c r="G338" i="8"/>
  <c r="H336" i="8"/>
  <c r="H334" i="8" s="1"/>
  <c r="H333" i="8" s="1"/>
  <c r="G335" i="8"/>
  <c r="F335" i="8"/>
  <c r="G334" i="8"/>
  <c r="G333" i="8" s="1"/>
  <c r="F334" i="8"/>
  <c r="F333" i="8" s="1"/>
  <c r="H332" i="8"/>
  <c r="H331" i="8" s="1"/>
  <c r="G332" i="8"/>
  <c r="G331" i="8" s="1"/>
  <c r="F331" i="8"/>
  <c r="F330" i="8"/>
  <c r="F329" i="8"/>
  <c r="F327" i="8" s="1"/>
  <c r="H328" i="8"/>
  <c r="G328" i="8"/>
  <c r="H327" i="8"/>
  <c r="G327" i="8"/>
  <c r="H325" i="8"/>
  <c r="H324" i="8" s="1"/>
  <c r="G325" i="8"/>
  <c r="G324" i="8" s="1"/>
  <c r="F325" i="8"/>
  <c r="F324" i="8" s="1"/>
  <c r="H322" i="8"/>
  <c r="H321" i="8" s="1"/>
  <c r="G322" i="8"/>
  <c r="G321" i="8" s="1"/>
  <c r="F322" i="8"/>
  <c r="F321" i="8" s="1"/>
  <c r="H320" i="8"/>
  <c r="H319" i="8" s="1"/>
  <c r="G319" i="8"/>
  <c r="F319" i="8"/>
  <c r="F318" i="8"/>
  <c r="H313" i="8"/>
  <c r="H310" i="8" s="1"/>
  <c r="H309" i="8" s="1"/>
  <c r="H308" i="8" s="1"/>
  <c r="G313" i="8"/>
  <c r="G310" i="8" s="1"/>
  <c r="G309" i="8" s="1"/>
  <c r="G308" i="8" s="1"/>
  <c r="F313" i="8"/>
  <c r="F312" i="8"/>
  <c r="F311" i="8" s="1"/>
  <c r="H311" i="8"/>
  <c r="G311" i="8"/>
  <c r="G306" i="8"/>
  <c r="G305" i="8" s="1"/>
  <c r="G304" i="8" s="1"/>
  <c r="H306" i="8"/>
  <c r="H305" i="8" s="1"/>
  <c r="H304" i="8" s="1"/>
  <c r="F306" i="8"/>
  <c r="F305" i="8" s="1"/>
  <c r="F304" i="8" s="1"/>
  <c r="H301" i="8"/>
  <c r="H300" i="8" s="1"/>
  <c r="G301" i="8"/>
  <c r="G300" i="8" s="1"/>
  <c r="F301" i="8"/>
  <c r="F300" i="8" s="1"/>
  <c r="H297" i="8"/>
  <c r="G297" i="8"/>
  <c r="F297" i="8"/>
  <c r="H296" i="8"/>
  <c r="G296" i="8"/>
  <c r="F296" i="8"/>
  <c r="F294" i="8"/>
  <c r="F293" i="8" s="1"/>
  <c r="F292" i="8" s="1"/>
  <c r="F291" i="8" s="1"/>
  <c r="H293" i="8"/>
  <c r="H292" i="8" s="1"/>
  <c r="H291" i="8" s="1"/>
  <c r="G293" i="8"/>
  <c r="G292" i="8" s="1"/>
  <c r="G291" i="8" s="1"/>
  <c r="H287" i="8"/>
  <c r="H286" i="8" s="1"/>
  <c r="G287" i="8"/>
  <c r="G286" i="8" s="1"/>
  <c r="F287" i="8"/>
  <c r="F286" i="8" s="1"/>
  <c r="H283" i="8"/>
  <c r="G283" i="8"/>
  <c r="F284" i="8"/>
  <c r="F282" i="8"/>
  <c r="F281" i="8" s="1"/>
  <c r="F280" i="8" s="1"/>
  <c r="H281" i="8"/>
  <c r="H280" i="8" s="1"/>
  <c r="G281" i="8"/>
  <c r="G280" i="8" s="1"/>
  <c r="H278" i="8"/>
  <c r="H277" i="8" s="1"/>
  <c r="G278" i="8"/>
  <c r="G277" i="8" s="1"/>
  <c r="F278" i="8"/>
  <c r="F277" i="8" s="1"/>
  <c r="H266" i="8"/>
  <c r="H265" i="8" s="1"/>
  <c r="G266" i="8"/>
  <c r="G265" i="8" s="1"/>
  <c r="F266" i="8"/>
  <c r="F265" i="8" s="1"/>
  <c r="F262" i="8"/>
  <c r="F261" i="8" s="1"/>
  <c r="F260" i="8" s="1"/>
  <c r="H261" i="8"/>
  <c r="H260" i="8" s="1"/>
  <c r="G261" i="8"/>
  <c r="G260" i="8" s="1"/>
  <c r="F259" i="8"/>
  <c r="F258" i="8" s="1"/>
  <c r="F257" i="8" s="1"/>
  <c r="H258" i="8"/>
  <c r="H257" i="8" s="1"/>
  <c r="G258" i="8"/>
  <c r="G257" i="8" s="1"/>
  <c r="H255" i="8"/>
  <c r="H254" i="8" s="1"/>
  <c r="G255" i="8"/>
  <c r="G254" i="8" s="1"/>
  <c r="F255" i="8"/>
  <c r="F254" i="8" s="1"/>
  <c r="H252" i="8"/>
  <c r="H251" i="8" s="1"/>
  <c r="G252" i="8"/>
  <c r="G251" i="8" s="1"/>
  <c r="F252" i="8"/>
  <c r="F251" i="8" s="1"/>
  <c r="H249" i="8"/>
  <c r="H248" i="8" s="1"/>
  <c r="G249" i="8"/>
  <c r="G248" i="8" s="1"/>
  <c r="F249" i="8"/>
  <c r="F248" i="8" s="1"/>
  <c r="H246" i="8"/>
  <c r="H245" i="8" s="1"/>
  <c r="G246" i="8"/>
  <c r="G245" i="8" s="1"/>
  <c r="F246" i="8"/>
  <c r="F245" i="8" s="1"/>
  <c r="H243" i="8"/>
  <c r="H242" i="8" s="1"/>
  <c r="G243" i="8"/>
  <c r="G242" i="8" s="1"/>
  <c r="F243" i="8"/>
  <c r="F242" i="8" s="1"/>
  <c r="F240" i="8"/>
  <c r="F239" i="8" s="1"/>
  <c r="F238" i="8" s="1"/>
  <c r="H239" i="8"/>
  <c r="H238" i="8" s="1"/>
  <c r="G239" i="8"/>
  <c r="G238" i="8" s="1"/>
  <c r="H237" i="8"/>
  <c r="H236" i="8" s="1"/>
  <c r="H235" i="8" s="1"/>
  <c r="G237" i="8"/>
  <c r="G236" i="8" s="1"/>
  <c r="G235" i="8" s="1"/>
  <c r="F237" i="8"/>
  <c r="F236" i="8" s="1"/>
  <c r="F235" i="8" s="1"/>
  <c r="H234" i="8"/>
  <c r="H233" i="8" s="1"/>
  <c r="H232" i="8" s="1"/>
  <c r="G234" i="8"/>
  <c r="G233" i="8" s="1"/>
  <c r="G232" i="8" s="1"/>
  <c r="F234" i="8"/>
  <c r="F233" i="8" s="1"/>
  <c r="F232" i="8" s="1"/>
  <c r="H230" i="8"/>
  <c r="H229" i="8" s="1"/>
  <c r="G230" i="8"/>
  <c r="G229" i="8" s="1"/>
  <c r="F230" i="8"/>
  <c r="F229" i="8" s="1"/>
  <c r="H228" i="8"/>
  <c r="H227" i="8" s="1"/>
  <c r="G228" i="8"/>
  <c r="G226" i="8" s="1"/>
  <c r="F227" i="8"/>
  <c r="F225" i="8"/>
  <c r="F224" i="8" s="1"/>
  <c r="F223" i="8" s="1"/>
  <c r="H224" i="8"/>
  <c r="H223" i="8" s="1"/>
  <c r="G224" i="8"/>
  <c r="G223" i="8" s="1"/>
  <c r="H221" i="8"/>
  <c r="H220" i="8" s="1"/>
  <c r="G221" i="8"/>
  <c r="G220" i="8" s="1"/>
  <c r="F221" i="8"/>
  <c r="F220" i="8" s="1"/>
  <c r="H217" i="8"/>
  <c r="H216" i="8" s="1"/>
  <c r="G217" i="8"/>
  <c r="G216" i="8" s="1"/>
  <c r="F217" i="8"/>
  <c r="F216" i="8" s="1"/>
  <c r="H214" i="8"/>
  <c r="H213" i="8" s="1"/>
  <c r="H212" i="8" s="1"/>
  <c r="G214" i="8"/>
  <c r="F213" i="8"/>
  <c r="F212" i="8" s="1"/>
  <c r="H210" i="8"/>
  <c r="H209" i="8" s="1"/>
  <c r="G210" i="8"/>
  <c r="G209" i="8" s="1"/>
  <c r="F210" i="8"/>
  <c r="F209" i="8" s="1"/>
  <c r="H207" i="8"/>
  <c r="H206" i="8" s="1"/>
  <c r="G207" i="8"/>
  <c r="G206" i="8" s="1"/>
  <c r="F207" i="8"/>
  <c r="F206" i="8" s="1"/>
  <c r="H204" i="8"/>
  <c r="H203" i="8" s="1"/>
  <c r="G204" i="8"/>
  <c r="G203" i="8" s="1"/>
  <c r="F204" i="8"/>
  <c r="F203" i="8" s="1"/>
  <c r="H201" i="8"/>
  <c r="H200" i="8" s="1"/>
  <c r="H199" i="8" s="1"/>
  <c r="G201" i="8"/>
  <c r="G200" i="8" s="1"/>
  <c r="G199" i="8" s="1"/>
  <c r="F201" i="8"/>
  <c r="F200" i="8" s="1"/>
  <c r="F199" i="8" s="1"/>
  <c r="H198" i="8"/>
  <c r="H197" i="8" s="1"/>
  <c r="H196" i="8" s="1"/>
  <c r="G198" i="8"/>
  <c r="G197" i="8" s="1"/>
  <c r="G196" i="8" s="1"/>
  <c r="F197" i="8"/>
  <c r="F196" i="8" s="1"/>
  <c r="H194" i="8"/>
  <c r="H192" i="8" s="1"/>
  <c r="H191" i="8" s="1"/>
  <c r="G194" i="8"/>
  <c r="G192" i="8" s="1"/>
  <c r="G191" i="8" s="1"/>
  <c r="F193" i="8"/>
  <c r="F192" i="8"/>
  <c r="F191" i="8" s="1"/>
  <c r="H189" i="8"/>
  <c r="H188" i="8" s="1"/>
  <c r="G189" i="8"/>
  <c r="G188" i="8" s="1"/>
  <c r="F189" i="8"/>
  <c r="F188" i="8" s="1"/>
  <c r="H186" i="8"/>
  <c r="H185" i="8" s="1"/>
  <c r="G186" i="8"/>
  <c r="G185" i="8" s="1"/>
  <c r="F186" i="8"/>
  <c r="F185" i="8" s="1"/>
  <c r="H183" i="8"/>
  <c r="H182" i="8" s="1"/>
  <c r="G183" i="8"/>
  <c r="G182" i="8" s="1"/>
  <c r="F183" i="8"/>
  <c r="F182" i="8" s="1"/>
  <c r="F178" i="8" s="1"/>
  <c r="H180" i="8"/>
  <c r="H179" i="8" s="1"/>
  <c r="G180" i="8"/>
  <c r="G179" i="8" s="1"/>
  <c r="F180" i="8"/>
  <c r="F179" i="8" s="1"/>
  <c r="H177" i="8"/>
  <c r="H176" i="8" s="1"/>
  <c r="H175" i="8" s="1"/>
  <c r="G176" i="8"/>
  <c r="G175" i="8" s="1"/>
  <c r="F177" i="8"/>
  <c r="F176" i="8" s="1"/>
  <c r="F175" i="8" s="1"/>
  <c r="F173" i="8"/>
  <c r="F172" i="8" s="1"/>
  <c r="H173" i="8"/>
  <c r="H172" i="8" s="1"/>
  <c r="G173" i="8"/>
  <c r="G172" i="8" s="1"/>
  <c r="H170" i="8"/>
  <c r="H169" i="8" s="1"/>
  <c r="G170" i="8"/>
  <c r="G169" i="8" s="1"/>
  <c r="F170" i="8"/>
  <c r="F169" i="8" s="1"/>
  <c r="H168" i="8"/>
  <c r="H167" i="8" s="1"/>
  <c r="G168" i="8"/>
  <c r="G167" i="8" s="1"/>
  <c r="F167" i="8"/>
  <c r="H165" i="8"/>
  <c r="G165" i="8"/>
  <c r="F165" i="8"/>
  <c r="H156" i="8"/>
  <c r="H155" i="8" s="1"/>
  <c r="G156" i="8"/>
  <c r="G155" i="8" s="1"/>
  <c r="F156" i="8"/>
  <c r="F155" i="8" s="1"/>
  <c r="H153" i="8"/>
  <c r="H152" i="8" s="1"/>
  <c r="G153" i="8"/>
  <c r="G152" i="8" s="1"/>
  <c r="F153" i="8"/>
  <c r="F152" i="8" s="1"/>
  <c r="H150" i="8"/>
  <c r="H149" i="8" s="1"/>
  <c r="G150" i="8"/>
  <c r="G149" i="8" s="1"/>
  <c r="F150" i="8"/>
  <c r="F149" i="8" s="1"/>
  <c r="H147" i="8"/>
  <c r="H146" i="8" s="1"/>
  <c r="G147" i="8"/>
  <c r="G146" i="8" s="1"/>
  <c r="F147" i="8"/>
  <c r="F146" i="8" s="1"/>
  <c r="H144" i="8"/>
  <c r="H143" i="8" s="1"/>
  <c r="G144" i="8"/>
  <c r="G143" i="8" s="1"/>
  <c r="F144" i="8"/>
  <c r="F143" i="8" s="1"/>
  <c r="H141" i="8"/>
  <c r="H140" i="8" s="1"/>
  <c r="G141" i="8"/>
  <c r="G140" i="8" s="1"/>
  <c r="F141" i="8"/>
  <c r="F140" i="8" s="1"/>
  <c r="H138" i="8"/>
  <c r="H137" i="8" s="1"/>
  <c r="G138" i="8"/>
  <c r="G137" i="8" s="1"/>
  <c r="F138" i="8"/>
  <c r="F137" i="8" s="1"/>
  <c r="H135" i="8"/>
  <c r="H134" i="8" s="1"/>
  <c r="G135" i="8"/>
  <c r="G134" i="8" s="1"/>
  <c r="F135" i="8"/>
  <c r="F134" i="8" s="1"/>
  <c r="H132" i="8"/>
  <c r="H131" i="8" s="1"/>
  <c r="G132" i="8"/>
  <c r="G131" i="8" s="1"/>
  <c r="F132" i="8"/>
  <c r="F131" i="8" s="1"/>
  <c r="H129" i="8"/>
  <c r="H128" i="8" s="1"/>
  <c r="G129" i="8"/>
  <c r="G128" i="8" s="1"/>
  <c r="F129" i="8"/>
  <c r="F128" i="8" s="1"/>
  <c r="F126" i="8"/>
  <c r="F125" i="8" s="1"/>
  <c r="H125" i="8"/>
  <c r="G125" i="8"/>
  <c r="F123" i="8"/>
  <c r="F122" i="8" s="1"/>
  <c r="H119" i="8"/>
  <c r="H118" i="8" s="1"/>
  <c r="G119" i="8"/>
  <c r="G118" i="8" s="1"/>
  <c r="F119" i="8"/>
  <c r="F118" i="8" s="1"/>
  <c r="H117" i="8"/>
  <c r="H116" i="8" s="1"/>
  <c r="H115" i="8" s="1"/>
  <c r="G117" i="8"/>
  <c r="G116" i="8" s="1"/>
  <c r="G115" i="8" s="1"/>
  <c r="F117" i="8"/>
  <c r="F116" i="8" s="1"/>
  <c r="F115" i="8" s="1"/>
  <c r="H113" i="8"/>
  <c r="H112" i="8" s="1"/>
  <c r="G113" i="8"/>
  <c r="G112" i="8" s="1"/>
  <c r="F113" i="8"/>
  <c r="F112" i="8" s="1"/>
  <c r="H109" i="8"/>
  <c r="H108" i="8" s="1"/>
  <c r="G109" i="8"/>
  <c r="G108" i="8" s="1"/>
  <c r="F109" i="8"/>
  <c r="F108" i="8" s="1"/>
  <c r="H107" i="8"/>
  <c r="H106" i="8" s="1"/>
  <c r="H105" i="8" s="1"/>
  <c r="G107" i="8"/>
  <c r="G106" i="8" s="1"/>
  <c r="G105" i="8" s="1"/>
  <c r="F106" i="8"/>
  <c r="F105" i="8" s="1"/>
  <c r="H104" i="8"/>
  <c r="H103" i="8" s="1"/>
  <c r="H102" i="8" s="1"/>
  <c r="G104" i="8"/>
  <c r="G103" i="8" s="1"/>
  <c r="G102" i="8" s="1"/>
  <c r="F104" i="8"/>
  <c r="F103" i="8" s="1"/>
  <c r="F102" i="8" s="1"/>
  <c r="H100" i="8"/>
  <c r="H99" i="8" s="1"/>
  <c r="G100" i="8"/>
  <c r="G99" i="8" s="1"/>
  <c r="F100" i="8"/>
  <c r="F99" i="8" s="1"/>
  <c r="F97" i="8"/>
  <c r="F96" i="8" s="1"/>
  <c r="H97" i="8"/>
  <c r="H96" i="8" s="1"/>
  <c r="G97" i="8"/>
  <c r="G96" i="8" s="1"/>
  <c r="F88" i="8"/>
  <c r="H88" i="8"/>
  <c r="G88" i="8"/>
  <c r="H86" i="8"/>
  <c r="G86" i="8"/>
  <c r="F86" i="8"/>
  <c r="F85" i="8" s="1"/>
  <c r="H82" i="8"/>
  <c r="H81" i="8" s="1"/>
  <c r="H80" i="8" s="1"/>
  <c r="G82" i="8"/>
  <c r="G81" i="8" s="1"/>
  <c r="G80" i="8" s="1"/>
  <c r="F81" i="8"/>
  <c r="F80" i="8" s="1"/>
  <c r="H79" i="8"/>
  <c r="H78" i="8" s="1"/>
  <c r="H77" i="8" s="1"/>
  <c r="G79" i="8"/>
  <c r="G78" i="8" s="1"/>
  <c r="G77" i="8" s="1"/>
  <c r="F78" i="8"/>
  <c r="F77" i="8" s="1"/>
  <c r="H71" i="8"/>
  <c r="H70" i="8" s="1"/>
  <c r="G71" i="8"/>
  <c r="G69" i="8" s="1"/>
  <c r="F71" i="8"/>
  <c r="F70" i="8" s="1"/>
  <c r="H67" i="8"/>
  <c r="H66" i="8" s="1"/>
  <c r="G67" i="8"/>
  <c r="G66" i="8" s="1"/>
  <c r="F67" i="8"/>
  <c r="F66" i="8" s="1"/>
  <c r="H64" i="8"/>
  <c r="H63" i="8" s="1"/>
  <c r="G64" i="8"/>
  <c r="G63" i="8" s="1"/>
  <c r="F64" i="8"/>
  <c r="F63" i="8" s="1"/>
  <c r="F61" i="8"/>
  <c r="H61" i="8"/>
  <c r="G61" i="8"/>
  <c r="H60" i="8"/>
  <c r="G60" i="8"/>
  <c r="H59" i="8"/>
  <c r="H58" i="8" s="1"/>
  <c r="H57" i="8" s="1"/>
  <c r="G59" i="8"/>
  <c r="G58" i="8" s="1"/>
  <c r="G57" i="8" s="1"/>
  <c r="F58" i="8"/>
  <c r="F57" i="8" s="1"/>
  <c r="H55" i="8"/>
  <c r="H54" i="8" s="1"/>
  <c r="G55" i="8"/>
  <c r="G54" i="8" s="1"/>
  <c r="F55" i="8"/>
  <c r="F54" i="8" s="1"/>
  <c r="H52" i="8"/>
  <c r="H51" i="8" s="1"/>
  <c r="G52" i="8"/>
  <c r="G51" i="8" s="1"/>
  <c r="F52" i="8"/>
  <c r="F51" i="8" s="1"/>
  <c r="H49" i="8"/>
  <c r="H48" i="8" s="1"/>
  <c r="G49" i="8"/>
  <c r="G48" i="8" s="1"/>
  <c r="F49" i="8"/>
  <c r="F48" i="8" s="1"/>
  <c r="H46" i="8"/>
  <c r="H45" i="8" s="1"/>
  <c r="G46" i="8"/>
  <c r="G45" i="8" s="1"/>
  <c r="F46" i="8"/>
  <c r="F45" i="8" s="1"/>
  <c r="H43" i="8"/>
  <c r="H42" i="8" s="1"/>
  <c r="G43" i="8"/>
  <c r="G42" i="8" s="1"/>
  <c r="F43" i="8"/>
  <c r="F42" i="8" s="1"/>
  <c r="H40" i="8"/>
  <c r="H39" i="8" s="1"/>
  <c r="G40" i="8"/>
  <c r="G39" i="8" s="1"/>
  <c r="F40" i="8"/>
  <c r="F39" i="8" s="1"/>
  <c r="H38" i="8"/>
  <c r="H37" i="8" s="1"/>
  <c r="G37" i="8"/>
  <c r="F37" i="8"/>
  <c r="F36" i="8" s="1"/>
  <c r="G36" i="8"/>
  <c r="H34" i="8"/>
  <c r="G34" i="8"/>
  <c r="F34" i="8"/>
  <c r="H33" i="8"/>
  <c r="G33" i="8"/>
  <c r="F33" i="8"/>
  <c r="F31" i="8"/>
  <c r="F29" i="8" s="1"/>
  <c r="H30" i="8"/>
  <c r="G30" i="8"/>
  <c r="H29" i="8"/>
  <c r="G29" i="8"/>
  <c r="H27" i="8"/>
  <c r="G27" i="8"/>
  <c r="F27" i="8"/>
  <c r="H26" i="8"/>
  <c r="G26" i="8"/>
  <c r="F26" i="8"/>
  <c r="F24" i="8"/>
  <c r="H24" i="8"/>
  <c r="G24" i="8"/>
  <c r="H23" i="8"/>
  <c r="G23" i="8"/>
  <c r="H15" i="8"/>
  <c r="H14" i="8" s="1"/>
  <c r="G15" i="8"/>
  <c r="G14" i="8" s="1"/>
  <c r="F15" i="8"/>
  <c r="F14" i="8" s="1"/>
  <c r="H12" i="8"/>
  <c r="G12" i="8"/>
  <c r="F12" i="8"/>
  <c r="H11" i="8"/>
  <c r="G11" i="8"/>
  <c r="F11" i="8"/>
  <c r="G85" i="8" l="1"/>
  <c r="H85" i="8"/>
  <c r="G788" i="8"/>
  <c r="G787" i="8" s="1"/>
  <c r="G164" i="8"/>
  <c r="G121" i="8" s="1"/>
  <c r="H164" i="8"/>
  <c r="F84" i="8"/>
  <c r="G842" i="8"/>
  <c r="H264" i="8"/>
  <c r="G264" i="8"/>
  <c r="G263" i="8" s="1"/>
  <c r="H10" i="8"/>
  <c r="H335" i="8"/>
  <c r="H598" i="8"/>
  <c r="H561" i="8" s="1"/>
  <c r="F927" i="8"/>
  <c r="G10" i="8"/>
  <c r="G330" i="8"/>
  <c r="F328" i="8"/>
  <c r="F911" i="8"/>
  <c r="F910" i="8" s="1"/>
  <c r="F909" i="8" s="1"/>
  <c r="G193" i="8"/>
  <c r="H350" i="8"/>
  <c r="G598" i="8"/>
  <c r="G561" i="8" s="1"/>
  <c r="G670" i="8"/>
  <c r="G663" i="8" s="1"/>
  <c r="G726" i="8"/>
  <c r="H723" i="8"/>
  <c r="H719" i="8" s="1"/>
  <c r="F726" i="8"/>
  <c r="F646" i="8"/>
  <c r="H36" i="8"/>
  <c r="F755" i="8"/>
  <c r="F754" i="8" s="1"/>
  <c r="H1006" i="8"/>
  <c r="H337" i="8"/>
  <c r="F852" i="8"/>
  <c r="G386" i="8"/>
  <c r="G385" i="8" s="1"/>
  <c r="H726" i="8"/>
  <c r="H639" i="8"/>
  <c r="H706" i="8"/>
  <c r="F815" i="8"/>
  <c r="F842" i="8"/>
  <c r="F701" i="8"/>
  <c r="F702" i="8"/>
  <c r="H284" i="8"/>
  <c r="G706" i="8"/>
  <c r="H755" i="8"/>
  <c r="H754" i="8" s="1"/>
  <c r="G646" i="8"/>
  <c r="F30" i="8"/>
  <c r="H650" i="8"/>
  <c r="H646" i="8" s="1"/>
  <c r="F509" i="8"/>
  <c r="H548" i="8"/>
  <c r="H547" i="8" s="1"/>
  <c r="F706" i="8"/>
  <c r="G911" i="8"/>
  <c r="G910" i="8" s="1"/>
  <c r="G702" i="8"/>
  <c r="G701" i="8"/>
  <c r="F23" i="8"/>
  <c r="F10" i="8" s="1"/>
  <c r="H76" i="8"/>
  <c r="H193" i="8"/>
  <c r="H744" i="8"/>
  <c r="G639" i="8"/>
  <c r="F69" i="8"/>
  <c r="F639" i="8"/>
  <c r="H670" i="8"/>
  <c r="H663" i="8" s="1"/>
  <c r="H69" i="8"/>
  <c r="G76" i="8"/>
  <c r="G337" i="8"/>
  <c r="F349" i="8"/>
  <c r="F344" i="8" s="1"/>
  <c r="H494" i="8"/>
  <c r="H493" i="8" s="1"/>
  <c r="H492" i="8" s="1"/>
  <c r="G982" i="8"/>
  <c r="F685" i="8"/>
  <c r="F678" i="8" s="1"/>
  <c r="G70" i="8"/>
  <c r="H178" i="8"/>
  <c r="G349" i="8"/>
  <c r="G344" i="8" s="1"/>
  <c r="F617" i="8"/>
  <c r="G847" i="8"/>
  <c r="H1007" i="8"/>
  <c r="F1024" i="8"/>
  <c r="F1023" i="8" s="1"/>
  <c r="F412" i="8"/>
  <c r="F411" i="8" s="1"/>
  <c r="F410" i="8" s="1"/>
  <c r="F401" i="8" s="1"/>
  <c r="F400" i="8" s="1"/>
  <c r="G412" i="8"/>
  <c r="G411" i="8" s="1"/>
  <c r="G410" i="8" s="1"/>
  <c r="G401" i="8" s="1"/>
  <c r="G400" i="8" s="1"/>
  <c r="F504" i="8"/>
  <c r="F503" i="8" s="1"/>
  <c r="G536" i="8"/>
  <c r="G521" i="8" s="1"/>
  <c r="G755" i="8"/>
  <c r="G754" i="8" s="1"/>
  <c r="F933" i="8"/>
  <c r="H536" i="8"/>
  <c r="H521" i="8" s="1"/>
  <c r="G971" i="8"/>
  <c r="F773" i="8"/>
  <c r="F772" i="8"/>
  <c r="G295" i="8"/>
  <c r="G290" i="8" s="1"/>
  <c r="F796" i="8"/>
  <c r="F795" i="8"/>
  <c r="G195" i="8"/>
  <c r="G796" i="8"/>
  <c r="G795" i="8"/>
  <c r="H195" i="8"/>
  <c r="F847" i="8"/>
  <c r="F195" i="8"/>
  <c r="G284" i="8"/>
  <c r="H701" i="8"/>
  <c r="G802" i="8"/>
  <c r="H808" i="8"/>
  <c r="H807" i="8" s="1"/>
  <c r="F971" i="8"/>
  <c r="F76" i="8"/>
  <c r="F598" i="8"/>
  <c r="F561" i="8" s="1"/>
  <c r="H617" i="8"/>
  <c r="G303" i="8"/>
  <c r="G482" i="8"/>
  <c r="F494" i="8"/>
  <c r="F493" i="8" s="1"/>
  <c r="G685" i="8"/>
  <c r="G678" i="8" s="1"/>
  <c r="G723" i="8"/>
  <c r="G719" i="8" s="1"/>
  <c r="H780" i="8"/>
  <c r="H779" i="8" s="1"/>
  <c r="H1030" i="8"/>
  <c r="F60" i="8"/>
  <c r="G178" i="8"/>
  <c r="G494" i="8"/>
  <c r="G493" i="8" s="1"/>
  <c r="G492" i="8" s="1"/>
  <c r="G548" i="8"/>
  <c r="G547" i="8" s="1"/>
  <c r="H685" i="8"/>
  <c r="F812" i="8"/>
  <c r="F828" i="8"/>
  <c r="H938" i="8"/>
  <c r="H925" i="8" s="1"/>
  <c r="F977" i="8"/>
  <c r="H988" i="8"/>
  <c r="H993" i="8"/>
  <c r="F1030" i="8"/>
  <c r="H653" i="8"/>
  <c r="G32" i="8"/>
  <c r="G84" i="8"/>
  <c r="G111" i="8"/>
  <c r="H318" i="8"/>
  <c r="G772" i="8"/>
  <c r="F801" i="8"/>
  <c r="F800" i="8" s="1"/>
  <c r="H847" i="8"/>
  <c r="H1023" i="8"/>
  <c r="F226" i="8"/>
  <c r="F219" i="8" s="1"/>
  <c r="F342" i="8"/>
  <c r="F536" i="8"/>
  <c r="H842" i="8"/>
  <c r="F988" i="8"/>
  <c r="F511" i="8"/>
  <c r="H345" i="8"/>
  <c r="F938" i="8"/>
  <c r="F964" i="8"/>
  <c r="F959" i="8" s="1"/>
  <c r="G977" i="8"/>
  <c r="F665" i="8"/>
  <c r="F664" i="8" s="1"/>
  <c r="G735" i="8"/>
  <c r="G734" i="8"/>
  <c r="F382" i="8"/>
  <c r="F780" i="8"/>
  <c r="F779" i="8" s="1"/>
  <c r="H802" i="8"/>
  <c r="H801" i="8"/>
  <c r="H800" i="8" s="1"/>
  <c r="G213" i="8"/>
  <c r="G212" i="8" s="1"/>
  <c r="G202" i="8" s="1"/>
  <c r="H111" i="8"/>
  <c r="G364" i="8"/>
  <c r="G363" i="8" s="1"/>
  <c r="G360" i="8" s="1"/>
  <c r="F482" i="8"/>
  <c r="F548" i="8"/>
  <c r="F547" i="8" s="1"/>
  <c r="H773" i="8"/>
  <c r="G808" i="8"/>
  <c r="G807" i="8" s="1"/>
  <c r="G828" i="8"/>
  <c r="H982" i="8"/>
  <c r="F111" i="8"/>
  <c r="F164" i="8"/>
  <c r="F121" i="8" s="1"/>
  <c r="F295" i="8"/>
  <c r="F290" i="8" s="1"/>
  <c r="F303" i="8"/>
  <c r="F339" i="8"/>
  <c r="H344" i="8"/>
  <c r="F364" i="8"/>
  <c r="F363" i="8" s="1"/>
  <c r="F360" i="8" s="1"/>
  <c r="H382" i="8"/>
  <c r="H788" i="8"/>
  <c r="H787" i="8" s="1"/>
  <c r="H828" i="8"/>
  <c r="G978" i="8"/>
  <c r="F994" i="8"/>
  <c r="F1006" i="8"/>
  <c r="G1023" i="8"/>
  <c r="G1030" i="8"/>
  <c r="H84" i="8"/>
  <c r="H121" i="8"/>
  <c r="H303" i="8"/>
  <c r="F337" i="8"/>
  <c r="F670" i="8"/>
  <c r="F861" i="8"/>
  <c r="F860" i="8" s="1"/>
  <c r="G227" i="8"/>
  <c r="H295" i="8"/>
  <c r="H290" i="8" s="1"/>
  <c r="H482" i="8"/>
  <c r="F734" i="8"/>
  <c r="G744" i="8"/>
  <c r="G780" i="8"/>
  <c r="G779" i="8" s="1"/>
  <c r="G938" i="8"/>
  <c r="G925" i="8" s="1"/>
  <c r="F202" i="8"/>
  <c r="F653" i="8"/>
  <c r="G404" i="8"/>
  <c r="G403" i="8" s="1"/>
  <c r="G402" i="8" s="1"/>
  <c r="F788" i="8"/>
  <c r="F787" i="8"/>
  <c r="H202" i="8"/>
  <c r="G219" i="8"/>
  <c r="F241" i="8"/>
  <c r="H263" i="8"/>
  <c r="G382" i="8"/>
  <c r="G653" i="8"/>
  <c r="H735" i="8"/>
  <c r="H734" i="8"/>
  <c r="H796" i="8"/>
  <c r="H795" i="8"/>
  <c r="H404" i="8"/>
  <c r="H403" i="8" s="1"/>
  <c r="H402" i="8" s="1"/>
  <c r="H401" i="8"/>
  <c r="H400" i="8" s="1"/>
  <c r="H909" i="8"/>
  <c r="H910" i="8"/>
  <c r="G241" i="8"/>
  <c r="H360" i="8"/>
  <c r="G617" i="8"/>
  <c r="F744" i="8"/>
  <c r="F743" i="8" s="1"/>
  <c r="F920" i="8"/>
  <c r="F919" i="8" s="1"/>
  <c r="H241" i="8"/>
  <c r="H970" i="8"/>
  <c r="H977" i="8"/>
  <c r="F982" i="8"/>
  <c r="G988" i="8"/>
  <c r="G993" i="8"/>
  <c r="G1006" i="8"/>
  <c r="G318" i="8"/>
  <c r="G317" i="8" s="1"/>
  <c r="H226" i="8"/>
  <c r="H219" i="8" s="1"/>
  <c r="F283" i="8"/>
  <c r="F310" i="8"/>
  <c r="F309" i="8" s="1"/>
  <c r="F308" i="8" s="1"/>
  <c r="H330" i="8"/>
  <c r="F723" i="8"/>
  <c r="F719" i="8" s="1"/>
  <c r="F317" i="8"/>
  <c r="F531" i="8"/>
  <c r="F530" i="8" s="1"/>
  <c r="G718" i="8" l="1"/>
  <c r="G717" i="8" s="1"/>
  <c r="G838" i="8"/>
  <c r="G827" i="8" s="1"/>
  <c r="G806" i="8" s="1"/>
  <c r="G316" i="8"/>
  <c r="G315" i="8" s="1"/>
  <c r="H359" i="8"/>
  <c r="H358" i="8" s="1"/>
  <c r="F987" i="8"/>
  <c r="F937" i="8"/>
  <c r="G778" i="8"/>
  <c r="H945" i="8"/>
  <c r="F264" i="8"/>
  <c r="F263" i="8" s="1"/>
  <c r="F718" i="8"/>
  <c r="F717" i="8" s="1"/>
  <c r="H32" i="8"/>
  <c r="H9" i="8" s="1"/>
  <c r="F808" i="8"/>
  <c r="F807" i="8" s="1"/>
  <c r="G9" i="8"/>
  <c r="G677" i="8"/>
  <c r="F677" i="8"/>
  <c r="H678" i="8"/>
  <c r="H677" i="8" s="1"/>
  <c r="F492" i="8"/>
  <c r="F521" i="8"/>
  <c r="G743" i="8"/>
  <c r="G733" i="8" s="1"/>
  <c r="F838" i="8"/>
  <c r="F827" i="8" s="1"/>
  <c r="G945" i="8"/>
  <c r="F32" i="8"/>
  <c r="F9" i="8" s="1"/>
  <c r="H317" i="8"/>
  <c r="H316" i="8" s="1"/>
  <c r="H315" i="8" s="1"/>
  <c r="F778" i="8"/>
  <c r="F359" i="8"/>
  <c r="F358" i="8" s="1"/>
  <c r="F357" i="8" s="1"/>
  <c r="G909" i="8"/>
  <c r="H718" i="8"/>
  <c r="H717" i="8" s="1"/>
  <c r="H743" i="8"/>
  <c r="H733" i="8" s="1"/>
  <c r="G491" i="8"/>
  <c r="F1014" i="8"/>
  <c r="G1014" i="8"/>
  <c r="G359" i="8"/>
  <c r="G358" i="8" s="1"/>
  <c r="G357" i="8" s="1"/>
  <c r="F733" i="8"/>
  <c r="H778" i="8"/>
  <c r="H1014" i="8"/>
  <c r="H491" i="8"/>
  <c r="G345" i="8"/>
  <c r="H987" i="8"/>
  <c r="F316" i="8"/>
  <c r="F315" i="8" s="1"/>
  <c r="F945" i="8"/>
  <c r="F936" i="8"/>
  <c r="F926" i="8" s="1"/>
  <c r="F560" i="8"/>
  <c r="F345" i="8"/>
  <c r="H838" i="8"/>
  <c r="H827" i="8" s="1"/>
  <c r="H806" i="8" s="1"/>
  <c r="H560" i="8"/>
  <c r="F663" i="8"/>
  <c r="G987" i="8"/>
  <c r="H357" i="8"/>
  <c r="F83" i="8"/>
  <c r="H83" i="8"/>
  <c r="G560" i="8"/>
  <c r="G83" i="8"/>
  <c r="G8" i="8" s="1"/>
  <c r="H918" i="8" l="1"/>
  <c r="G559" i="8"/>
  <c r="H8" i="8"/>
  <c r="F491" i="8"/>
  <c r="H559" i="8"/>
  <c r="F806" i="8"/>
  <c r="F559" i="8"/>
  <c r="G918" i="8"/>
  <c r="F8" i="8"/>
  <c r="F925" i="8"/>
  <c r="F918" i="8" s="1"/>
  <c r="G7" i="8" l="1"/>
  <c r="H7" i="8"/>
  <c r="F7" i="8"/>
</calcChain>
</file>

<file path=xl/sharedStrings.xml><?xml version="1.0" encoding="utf-8"?>
<sst xmlns="http://schemas.openxmlformats.org/spreadsheetml/2006/main" count="3870" uniqueCount="873">
  <si>
    <t>Приложение 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от "19" декабря  2024 г. № 333</t>
  </si>
  <si>
    <t>Объем и распределение бюджетных ассигнований по целевым статьям, (муниципальным программам  и непрограммным направлениям деятельности), группам и подгруппам видов расходов, главным распорядителям средств  бюджета  округа по разделам, подразделам классификации расходов бюджетов на  2025 год и на плановый период 2026 и 2027 годов</t>
  </si>
  <si>
    <t>КЦСР</t>
  </si>
  <si>
    <t>КВР</t>
  </si>
  <si>
    <t>ППП</t>
  </si>
  <si>
    <t>РП</t>
  </si>
  <si>
    <t>Наименование</t>
  </si>
  <si>
    <t xml:space="preserve"> Сумма (тыс. руб.)</t>
  </si>
  <si>
    <t>2025 год</t>
  </si>
  <si>
    <t>2026 год</t>
  </si>
  <si>
    <t>2027 год</t>
  </si>
  <si>
    <t>Всего</t>
  </si>
  <si>
    <t>01 0 00 00000</t>
  </si>
  <si>
    <t>000</t>
  </si>
  <si>
    <t>Муниципальная программа "Развитие муниципальной системы образования Калининского муниципального округа Тверской области на 2024-2029 годы"</t>
  </si>
  <si>
    <t>01 1 00 00000</t>
  </si>
  <si>
    <t>Подпрограмма "Развитие дошкольного образования"</t>
  </si>
  <si>
    <t>01 1 01 00000</t>
  </si>
  <si>
    <t>Организация предоставления общедоступного и бесплатного образования в образовательных организациях, реализующих программы дошкольного образования</t>
  </si>
  <si>
    <t>01 1 01 10500</t>
  </si>
  <si>
    <t>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</si>
  <si>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</si>
  <si>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</si>
  <si>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</si>
  <si>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602</t>
  </si>
  <si>
    <t>10 04</t>
  </si>
  <si>
    <t>Субсидии бюджетным учреждениям</t>
  </si>
  <si>
    <t>01 1 01 10740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</si>
  <si>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</si>
  <si>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07 01</t>
  </si>
  <si>
    <t>01 1 01 20020</t>
  </si>
  <si>
    <t xml:space="preserve">Обеспечение деятельности дошкольных образовательных учреждений </t>
  </si>
  <si>
    <t>01 1 01 20030</t>
  </si>
  <si>
    <t xml:space="preserve">Обеспечение деятельности дошкольных образовательных учреждений в части предоставления коммунальных услуг </t>
  </si>
  <si>
    <t>01 1 01 20040</t>
  </si>
  <si>
    <t>Организация питания в дошкольных образовательных организациях</t>
  </si>
  <si>
    <t>01 1 02 00000</t>
  </si>
  <si>
    <t>Укрепление материально-технической базы   образовательных учреждений, реализующих основную общеобразовательную программу дошкольного образования</t>
  </si>
  <si>
    <t>01 1 02 11350</t>
  </si>
  <si>
    <t xml:space="preserve">Оснащение муниципальных образовательных организаций, реализующих программы дошкольного образования, уличными игровыми комплексами
</t>
  </si>
  <si>
    <t>01 1 02 S1350</t>
  </si>
  <si>
    <t>Оснащение муниципальных дошкольных образовательных организаций уличными игровыми комплексами за счет средств  бюджета округа</t>
  </si>
  <si>
    <t>01 1 02 19052</t>
  </si>
  <si>
    <t>Реализация программ по поддержке местных инициатив в Тверской области. Обустройство спортивной площадки на территории МДОУ "Рязановский детский сад" Калининского округа Тверской области</t>
  </si>
  <si>
    <t>01 1 02 S9052</t>
  </si>
  <si>
    <t>01 1 02 19053</t>
  </si>
  <si>
    <t>Реализация программ по поддержке местных инициатив в Тверской области. Благоустройство детской площадки в МДОУ "Кулицкий детский сад" Калининского округа Тверской области (младшая группа)</t>
  </si>
  <si>
    <t>01 1 02 S9053</t>
  </si>
  <si>
    <t>01 1 02 19054</t>
  </si>
  <si>
    <t>Реализация программ по поддержке местных инициатив в Тверской области. Благоустройство детской площадки в МДОУ "Кулицкий детский сад" Калининского округа Тверской области (старшая группа)</t>
  </si>
  <si>
    <t>01 1 02 S9054</t>
  </si>
  <si>
    <t>01 1 02 20010</t>
  </si>
  <si>
    <t>Проведение ремонта  зданий и помещений, находящихся в муниципальной собственности, используемых для размещения образовательных организациях, реализующих программы дошкольного образования</t>
  </si>
  <si>
    <t>01 1 02 20020</t>
  </si>
  <si>
    <t>Укрепление материально-технической базы образовательных учреждений, реализующих общеобразовательную программу дошкольного образования</t>
  </si>
  <si>
    <t>01 1 02 20040</t>
  </si>
  <si>
    <t>Реализация мероприятий, направленных для достижения запланированных значений показателей доступности для инвалидов объектов и услуг образования в образовательных организациях, реализующих образовательные программы общего образования</t>
  </si>
  <si>
    <t>01 1 02 20080</t>
  </si>
  <si>
    <t>Реализация мероприятий, направленных на обновление и благоустройство территорий муниципальных образовательных организаций, реализующих программу дошкольного образования</t>
  </si>
  <si>
    <t>01 1 02 S1040</t>
  </si>
  <si>
    <t>Расходы на укрепление материально-технической базы муниципальных образовательных организаций, реализующих программы дошкольного образования за счет средств бюджета округа</t>
  </si>
  <si>
    <t>200</t>
  </si>
  <si>
    <t>Закупка товаров, работ и услуг для обеспечения государственных (муниципальных) нужд</t>
  </si>
  <si>
    <t>240</t>
  </si>
  <si>
    <t>601</t>
  </si>
  <si>
    <t>Иные закупки товаров, работ и услуг для обеспечения государственных (муниципальных) нужд</t>
  </si>
  <si>
    <t>01 1 04 00000</t>
  </si>
  <si>
    <t>Комплексная безопасность образовательных организаций, реализующих программы дошкольного образования</t>
  </si>
  <si>
    <t>01 1 04 20010</t>
  </si>
  <si>
    <t>Осуществление комплекса мер по противопожарной безопасности</t>
  </si>
  <si>
    <t>01 1 04 20020</t>
  </si>
  <si>
    <t>Осуществление комплекса мер по антитеррористической безопасности</t>
  </si>
  <si>
    <t>01 2 00 00000</t>
  </si>
  <si>
    <t>Подпрограмма «Развитие общего образования»</t>
  </si>
  <si>
    <t>01 2 01 00000</t>
  </si>
  <si>
    <t>Организация предоставления общедоступного и бесплатного образования в образовательных организациях, реализующих программы дошкольного, общего образования</t>
  </si>
  <si>
    <t>01 2 01 10750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</si>
  <si>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</si>
  <si>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</si>
  <si>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</si>
  <si>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</si>
  <si>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07 02</t>
  </si>
  <si>
    <t>Расходы на выплаты персоналу казенных учреждений</t>
  </si>
  <si>
    <t>01 2 01 20020</t>
  </si>
  <si>
    <t xml:space="preserve">Обеспечение деятельности общеобразовательных учреждений </t>
  </si>
  <si>
    <t>01 2 01 20030</t>
  </si>
  <si>
    <t xml:space="preserve">Обеспечение деятельности  общеобразовательных учреждений в части предоставления коммунальных услуг </t>
  </si>
  <si>
    <t>01 2 01 20040</t>
  </si>
  <si>
    <t>Организация питания в общеобразовательных учреждениях</t>
  </si>
  <si>
    <t>01 2 01 20050</t>
  </si>
  <si>
    <t>Укрепление материально-технической базы образовательных учреждений, реализующих основную программу общего образования</t>
  </si>
  <si>
    <t>01 2 01 20060</t>
  </si>
  <si>
    <t>Проведение мероприятий, направленных на создание условий для реализации модели профессиональной работы в общеобразовательных организациях</t>
  </si>
  <si>
    <t>01 2 Ю6 00000</t>
  </si>
  <si>
    <t>Региональный проект "Педагоги и наставники" в рамках национального проекта  "Молодежь и дети"</t>
  </si>
  <si>
    <t>01 2 Ю6 50501</t>
  </si>
  <si>
    <t xml:space="preserve"> 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</t>
  </si>
  <si>
    <t>01 2 Ю6 51790</t>
  </si>
  <si>
    <t xml:space="preserve"> Проведение мероприятий по обеспечению деятельности советников директора по воспитанию и взаимодействию с детскими общественными объединениями  в общеобразовательных организациях</t>
  </si>
  <si>
    <t>01 2 Ю6 53031</t>
  </si>
  <si>
    <t>01 2 02 00000</t>
  </si>
  <si>
    <t>Развитие инфраструктуры муниципальных общеобразовательных учреждений Калининского муниципального округа  Тверской области в соответствии с требованиями действующего законодательства</t>
  </si>
  <si>
    <t>01 2 02 10440</t>
  </si>
  <si>
    <t>Расходы на укрепление материально-технической базы муниципальных общеобразовательных организаций</t>
  </si>
  <si>
    <t>01 2 02 11460</t>
  </si>
  <si>
    <t>Укрепление материально-технической базы муниципальных образовательных организаций в целях осуществления мероприятий по работе с детьми и молодежью, в том числе гражданско-патриотическому воспитанию</t>
  </si>
  <si>
    <t>07 09</t>
  </si>
  <si>
    <t>01 2 02 19048</t>
  </si>
  <si>
    <t>Реализация программ по поддержке местных инициатив в Тверской области. Капитальный ремонт спортивной площадки на территории МОУ "Заволжская СОШ" Калининского округа Тверской области</t>
  </si>
  <si>
    <t>01 2 02 S9048</t>
  </si>
  <si>
    <t>01 2 02 19049</t>
  </si>
  <si>
    <t>Реализация программ по поддержке местных инициатив в Тверской области. Благоустройство спортивной площадки на территории МОУ "Щербининская ООШ" Калининского округа Тверской области</t>
  </si>
  <si>
    <t>01 2 02 S9049</t>
  </si>
  <si>
    <t>01 2 02 19050</t>
  </si>
  <si>
    <t>Реализация программ по поддержке местных инициатив в Тверской области. Благоустройство детской площадки "Аввакумовский детский сад" филиал МОУ "Горютинская СОШ" Калининского округа Тверской области</t>
  </si>
  <si>
    <t>01 2 02 S9050</t>
  </si>
  <si>
    <t>01 2 02 19051</t>
  </si>
  <si>
    <t>Реализация программ по поддержке местных инициатив в Тверской области. Капитальный ремонт спортивной площадки на территории МОУ "Горютинская СОШ" Калининского округа Тверской области</t>
  </si>
  <si>
    <t>01 2 02 S9051</t>
  </si>
  <si>
    <t>01 2 02 19055</t>
  </si>
  <si>
    <t>Реализация программ по поддержке местных инициатив в Тверской области. Благоустройство спортивной площадки на территории МОУ "Квакшинская СОШ" Калининского округа Тверской области</t>
  </si>
  <si>
    <t>01 2 02 S9055</t>
  </si>
  <si>
    <t>01 2 02 20010</t>
  </si>
  <si>
    <t>Ремонт зданий и помещений, находящихся в муниципальной собственности и используемых для  размещения общеобразовательных учреждений</t>
  </si>
  <si>
    <t>01 2 02 20040</t>
  </si>
  <si>
    <t>Реализация мероприятий, направленных для достижения запланированных значений показателей доступности для инвалидов объектов и услуг образования в общеобразовательных организациях, реализующих образовательные программы общего образования</t>
  </si>
  <si>
    <t>01 2 02 20080</t>
  </si>
  <si>
    <t>Реализация мероприятий, направленных на обновление и благоустройство территорий  общеобразовательных учреждений</t>
  </si>
  <si>
    <t>01 2 02 S0440</t>
  </si>
  <si>
    <t>Расходы на укрепление материально-технической базы муниципальных общеобразовательных организаций за счет средств  бюджета округа</t>
  </si>
  <si>
    <t>01 2 Ю4 00000</t>
  </si>
  <si>
    <t>Региональный проект "Всё лучшее детям" в рамках национального проекта  "Молодежь и дети"</t>
  </si>
  <si>
    <t>01 2 Ю4 57500</t>
  </si>
  <si>
    <t xml:space="preserve">Реализация мероприятий по модернизации школьных систем образования </t>
  </si>
  <si>
    <t>Реализация мероприятий по модернизации школьных систем образования за счет бюджета округа</t>
  </si>
  <si>
    <t>01 2 Ю4 А7500</t>
  </si>
  <si>
    <t xml:space="preserve">Реализация мероприятий по модернизации школьных систем образования за счет средств областного бюджета </t>
  </si>
  <si>
    <t>01 2 Ю4 S7500</t>
  </si>
  <si>
    <t>Реализация мероприятий по модернизации школьных систем образования за счет средств бюджета округа</t>
  </si>
  <si>
    <t>01 2 03 00000</t>
  </si>
  <si>
    <t>Комплексные мероприятия в области энергосбережения  и повышения энергетической эффективности в образовательных организациях, реализующих программы общего образования</t>
  </si>
  <si>
    <t>01 2 03 20020</t>
  </si>
  <si>
    <t>Модернизация конструкции и инженерных систем зданий образовательных учреждений</t>
  </si>
  <si>
    <t>01 2 04 00000</t>
  </si>
  <si>
    <t>Комплексная безопасность образовательных организаций, реализующих программы общего образования</t>
  </si>
  <si>
    <t>01 2 04 20010</t>
  </si>
  <si>
    <t xml:space="preserve">Осуществление комплекса мер по противопожарной безопасности </t>
  </si>
  <si>
    <t>01 2 04 20020</t>
  </si>
  <si>
    <t>01 2 05 00000</t>
  </si>
  <si>
    <t>Обеспечение доступности качественных образовательных услуг в общеобразовательных учреждениях вне зависимости от  места проживания и состояния здоровья обучающихся</t>
  </si>
  <si>
    <t>01 2 05 10250</t>
  </si>
  <si>
    <t>Расходы 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учащихся, проживающих в сельской местности, к месту обучения и обратно</t>
  </si>
  <si>
    <t>01 2 05 11080</t>
  </si>
  <si>
    <t>Расходы на организацию участия детей и подростков в социально значимых региональных проектах</t>
  </si>
  <si>
    <t>01 2 05 20020</t>
  </si>
  <si>
    <t>Расходы на проведение муниципальных мероприятий, направленных на развитие творческого, спортивного, патриотического, интеллектуального потенциала и профессиональной ориентации школьников</t>
  </si>
  <si>
    <t>01 2 05 S0250</t>
  </si>
  <si>
    <t>Создание условий для предоставления транспортных услуг населению и организации транспортного обслуживания населения в части обеспечения подвоза учащихся, проживающих в сельской местности, к месту обучения и обратно за счет средств бюджета округа</t>
  </si>
  <si>
    <t>01 2 05 S1080</t>
  </si>
  <si>
    <t>Расходы на организацию участия детей и подростков в социально значимых региональных проектах за счет средств  бюджета округа</t>
  </si>
  <si>
    <t>01 2 06 00000</t>
  </si>
  <si>
    <t>Обеспечение комплексной деятельности по сохранению и укреплению здоровья школьников, формированию основ здорового образа жизни</t>
  </si>
  <si>
    <t>01 2 06 10240</t>
  </si>
  <si>
    <t>Расходы на организацию отдыха детей в каникулярное время</t>
  </si>
  <si>
    <t>01 2 06 20040</t>
  </si>
  <si>
    <t>Обеспечение организации трудоустройства обучающихся общеобразовательных учреждений в каникулярное время</t>
  </si>
  <si>
    <t>07 07</t>
  </si>
  <si>
    <t>01 2 06 20050</t>
  </si>
  <si>
    <t>Обеспечение горячим питанием учащихся с ограниченными возможностями здоровья в общеобразовательных учреждениях</t>
  </si>
  <si>
    <t>01 2 06 20060</t>
  </si>
  <si>
    <t>Обеспечение горячим питанием учащихся 5-11 классов в общеобразовательных учреждениях, членов семей граждан РФ, призванных на военную службу</t>
  </si>
  <si>
    <t>01 2 06 L3041</t>
  </si>
  <si>
    <t>Организация бесплатного горячего питания обучающихся, получающих  начальное  общее образование в муниципальных образовательных организациях  за счет средств федерального бюджета</t>
  </si>
  <si>
    <t xml:space="preserve">Организация бесплатного горячего питания обучающихся,  получающих  начальное  общее образование в муниципальных образовательных организациях за счет средств бюджета округа  </t>
  </si>
  <si>
    <t>01 2 06 S0240</t>
  </si>
  <si>
    <t>Организация отдыха детей  в каникулярное время за счет средств  бюджета  округа</t>
  </si>
  <si>
    <t>01 2 07 00000</t>
  </si>
  <si>
    <t xml:space="preserve">Создание условий для воспитания гармонично развитой творческой личности в условиях современного социума </t>
  </si>
  <si>
    <t>01 2 07 18009</t>
  </si>
  <si>
    <t xml:space="preserve">Реализация образовательных проектов в рамках поддержки школьных инициатив Тверской области - проект «Центр детских инициатив «Детолидер»» МОУ «Славновская ООШ» </t>
  </si>
  <si>
    <t>01 2 07 18010</t>
  </si>
  <si>
    <t>Реализация образовательных проектов в рамках поддержки школьных инициатив Тверской области – проект «Мобильная телестудия «Дети 24/7»» МОУ «Михайловская СОШ»</t>
  </si>
  <si>
    <t>01 2 07 18011</t>
  </si>
  <si>
    <t>Реализация образовательных проектов в рамках поддержки школьных инициатив Тверской области – проект «Комната детских инициатив «Вместе весело шагать»» МОУ «Квакшинская СОШ»</t>
  </si>
  <si>
    <t>01 2 07 18012</t>
  </si>
  <si>
    <t>Реализация образовательных проектов в рамках поддержки школьных инициатив Тверской области – проект «Школьный медиацентр «ЧеснОК»» МОУ «Суховерковская СОШ»</t>
  </si>
  <si>
    <t>Реализация образовательных проектов в рамках поддержки школьных инициатив Тверской области –проект «Досуговые уголки в школе «Школа нашей мечты»» МОУ «Тверская СОШ имени Маршала Советского Союза И.С. Конева»</t>
  </si>
  <si>
    <t>01 2 07 20010</t>
  </si>
  <si>
    <t xml:space="preserve">Расходы на проведение муниципальных мероприятий по духовно-нравственному воспитанию школьников </t>
  </si>
  <si>
    <t>01 2 07 20020</t>
  </si>
  <si>
    <t>Мероприятия для одаренных детей</t>
  </si>
  <si>
    <t>01 3 00 00000</t>
  </si>
  <si>
    <t>Подпрограмма «Развитие дополнительного образования»</t>
  </si>
  <si>
    <t>01 3 01 00000</t>
  </si>
  <si>
    <t>Организация предоставления дополнительного образования в образовательных организациях дополнительного образования</t>
  </si>
  <si>
    <t>01 3 01 10690</t>
  </si>
  <si>
    <t xml:space="preserve">Расходы на повышение заработной платы педагогическим работникам муниципальных организаций дополнительного образования </t>
  </si>
  <si>
    <t>07 03</t>
  </si>
  <si>
    <t>11 03</t>
  </si>
  <si>
    <t>01 3 01 20010</t>
  </si>
  <si>
    <t>Финансовое обеспечение муниципального задания образовательных организаций, реализующих программы дополнительного образования</t>
  </si>
  <si>
    <t>01 3 01 20030</t>
  </si>
  <si>
    <t>Обеспечение функционирования модели персонифицированного финансирования дополнительного образования детей</t>
  </si>
  <si>
    <t>01 3 01 20020</t>
  </si>
  <si>
    <t>Развитие муниципальных учреждений дополнительного образования спортивной направленности, учреждения физической культуры и спорта</t>
  </si>
  <si>
    <t>01 3 01 S0690</t>
  </si>
  <si>
    <t>Расходы на повышение заработной платы педагогическим работникам муниципальных организаций дополнительного образования за счет средств  бюджета округа</t>
  </si>
  <si>
    <t>01 4 00 00000</t>
  </si>
  <si>
    <t>Подпрограмма "Профессиональная подготовка и социальная поддержка работников муниципальных образовательных организаций»</t>
  </si>
  <si>
    <t>01 4 02 00000</t>
  </si>
  <si>
    <t>Развитие кадрового потенциала педагогических работников</t>
  </si>
  <si>
    <t>01 4 02 20010</t>
  </si>
  <si>
    <t>Организация и проведение муниципального этапа  Всероссийского конкурса «Учитель года»,  «Воспитатель года»</t>
  </si>
  <si>
    <t>01 4 03 00000</t>
  </si>
  <si>
    <t>Социальная поддержка руководящих и педагогических работников</t>
  </si>
  <si>
    <t>01 4 03 10560</t>
  </si>
  <si>
    <t>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</si>
  <si>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>300</t>
  </si>
  <si>
    <t>Социальное обеспечение и иные выплаты населению</t>
  </si>
  <si>
    <t>603</t>
  </si>
  <si>
    <t>10 03</t>
  </si>
  <si>
    <t xml:space="preserve">Публичные нормативные социальные выплаты гражданам
</t>
  </si>
  <si>
    <t>01 4 03 20020</t>
  </si>
  <si>
    <t>Возмещения расходов на оплату стоимости проезда к месту работы и обратно педагогическим работникам муниципальных образовательных организаций Калининского муниципального округа Тверской области, проживающим в другой местности</t>
  </si>
  <si>
    <t>01 5 00 00000</t>
  </si>
  <si>
    <t>Подпрограмма "Строительство и приобретение муниципальных объектов образования"</t>
  </si>
  <si>
    <t>01 5 02 00000</t>
  </si>
  <si>
    <t>Строительство муниципальных объектов общего образования</t>
  </si>
  <si>
    <t>400</t>
  </si>
  <si>
    <t>Капитальные вложения в объекты государственной (муниципальной) собственности</t>
  </si>
  <si>
    <t>410</t>
  </si>
  <si>
    <t xml:space="preserve">Бюджетные инвестиции
</t>
  </si>
  <si>
    <t>01 5 02 20080</t>
  </si>
  <si>
    <t>Строительство школы на 500 мест по адресу: Тверская область, Калининский муниципальный округ, д. Кривцово</t>
  </si>
  <si>
    <t>01 6 00 00000</t>
  </si>
  <si>
    <t>Подпрограмма "Обеспечивающая подпрограмма"</t>
  </si>
  <si>
    <t>01 6 01 00000</t>
  </si>
  <si>
    <t>Обеспечение деятельности системы образования Калининского округа"</t>
  </si>
  <si>
    <t>01 6 01 20010</t>
  </si>
  <si>
    <t>Обеспечение деятельности казенных учреждений, обслуживающих отрасль «Образование»</t>
  </si>
  <si>
    <t>02 0 00 00000</t>
  </si>
  <si>
    <t>Муниципальная  программа "Развитие дорожного хозяйства и обеспечения безопасности дорожного движения Калининского муниципального округа Тверской области на  2024-2029 годы"</t>
  </si>
  <si>
    <t>02 1 00 00000</t>
  </si>
  <si>
    <t>Подпрограмма "Модернизация сети автомобильных дорог  Калининского муниципального округа  Тверской области на 2024-2029 годы"</t>
  </si>
  <si>
    <t>02 1 01 00000</t>
  </si>
  <si>
    <t>Проектирование, капитальный ремонт,
ремонт автомобильных дорог общего пользования и искусственных дорожных сооружений на них</t>
  </si>
  <si>
    <t>02 1 01 9Д010</t>
  </si>
  <si>
    <t>Проектирование, капитальный ремонт,
ремонт автомобильных дорог общего пользования и искусственных дорожных сооружений на них за счет средств бюджета округа</t>
  </si>
  <si>
    <t>04 09</t>
  </si>
  <si>
    <t>02 1 01 9Д013</t>
  </si>
  <si>
    <t xml:space="preserve">Расходы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</t>
  </si>
  <si>
    <t>02 1 01 SД013</t>
  </si>
  <si>
    <t>Расходы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за счет средств бюджета округа</t>
  </si>
  <si>
    <t>02 1 01 9Д014</t>
  </si>
  <si>
    <t>Расходы на капитальный ремонт и ремонт улично-дорожной сети муниципальных образований Тверской области</t>
  </si>
  <si>
    <t>02 1 01 SД014</t>
  </si>
  <si>
    <t>Капитальный ремонт и ремонт улично-дорожной сети муниципальных образований за счет средств  бюджета округа</t>
  </si>
  <si>
    <t>02 1 02 00000</t>
  </si>
  <si>
    <t xml:space="preserve">Содержание автомобильных дорог общего пользования и искусственных сооружений на них"  </t>
  </si>
  <si>
    <t>02 1 02 9Д020</t>
  </si>
  <si>
    <t>Выполнение работ по зимнему и летнему содержанию автомобильных дорог местного значения</t>
  </si>
  <si>
    <t>02 1 03 00000</t>
  </si>
  <si>
    <t>Ремонт дворовых территорий многоквартирных домов и подъездов к ним</t>
  </si>
  <si>
    <t>02 1 03 9Д201</t>
  </si>
  <si>
    <t>Ремонт дворовых территорий многоквартирных домов, проездов к дворовым территориям многоквартирных домов населенных пунктов</t>
  </si>
  <si>
    <t>02 1 03 SД201</t>
  </si>
  <si>
    <t>Расходы на ремонт дворовых территорий многоквартирных домов, проездов к дворовым территориям многоквартирных домов населенных пунктов за счет средств бюджета  округа</t>
  </si>
  <si>
    <t>02 2 00 00000</t>
  </si>
  <si>
    <t>Подпрограмма  "Повышение безопасности дорожного движения на территории Калининского муниципального округа Тверской области на 2024-2029 годы"</t>
  </si>
  <si>
    <t>02 2 01 00000</t>
  </si>
  <si>
    <t>Расходы в рамках реализация регионального проекта "Безопасность дорожного движения", входящий в состав национального проекта "Инфраструктура для жизни"</t>
  </si>
  <si>
    <t>02 2 01 9Д017</t>
  </si>
  <si>
    <t xml:space="preserve">Проведение мероприятий в целях обеспечения безопасности дорожного движения на автомобильных дорогах общего пользования местного значения </t>
  </si>
  <si>
    <t>02 2 01 SД017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</si>
  <si>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  за счет средств бюджета округа</t>
  </si>
  <si>
    <t>02 3 00 00000</t>
  </si>
  <si>
    <t>Подпрограмма "Содержание автомобильных дорог регионального значения 3 класса Калининского муниципального округа Тверской области"</t>
  </si>
  <si>
    <t>02 3 02 00000</t>
  </si>
  <si>
    <t>Обеспечение круглосуточного бесперебойного и безопасного движения транспортных средств на автомобильных дорогах регионального значения 3класса</t>
  </si>
  <si>
    <t>02 3 02 9Д015</t>
  </si>
  <si>
    <t xml:space="preserve">Осуществление органами местного самоуправления отдельных государственных полномочий Тверской области в сфере осуществления дорожной деятельности
</t>
  </si>
  <si>
    <t>03 0 00 00000</t>
  </si>
  <si>
    <t>Муниципальная программа "Комплексное развитие системы коммунального и газового хозяйства Калининского муниципального округа Тверской области  на 2024-2029 годы"</t>
  </si>
  <si>
    <t>03 1 00 00000</t>
  </si>
  <si>
    <t>Подпрограмма "Комплексное  развитие систем  коммунальной инфраструктуры Калининского муниципального округа  на 2024-2029 годы"</t>
  </si>
  <si>
    <t>03 1 01 00000</t>
  </si>
  <si>
    <t>Повышение качества коммунальных услуг, предоставляемых потребителям на территории округа</t>
  </si>
  <si>
    <t>03 1 01 20110</t>
  </si>
  <si>
    <t xml:space="preserve">Развитие системы коммунальной инфраструктуры Калининского муниципального округа, отвечающей современным требованиям  социально-экономического развития </t>
  </si>
  <si>
    <t>05 02</t>
  </si>
  <si>
    <t>Техническое перевооружение опасного производственного объекта «Система теплоснабжения Калининского района», рег. №А05-12035-0001, III класс опасности, в части замены котлов 
в котельной по адресу: Россия, Тверская область, Калининский район, Медновское сельское поселение, с. Медное, 
ул. Школьная, д. 36</t>
  </si>
  <si>
    <t>Техническое перевооружение опасного производственного объекта «Система теплоснабжения с. Михайловское», 
рег. № А05-12035-0002, III класс опасности, в части замены котлов в котельной по адресу: Тверская обл., р-н Калининский, с/пос. Михайловское, с. Михайловское</t>
  </si>
  <si>
    <t>Техническое перевооружение опасного производственного объекта «Система теплоснабжения пос. Загородный», 
рег. № А05-12035-0004, III класс опасности, в части замены котлов в котельной по адресу: Россия, Тверская область, Калининский район, Михайловское сельское поселение, 
пос. Загородный</t>
  </si>
  <si>
    <t>Техническое перевооружение (модернизация) системы теплоснабжения пгт Васильевский Мох,</t>
  </si>
  <si>
    <t>Строительство блочно-модульной газовой котельной в  п. Металлистов Михайловского сельского поселения</t>
  </si>
  <si>
    <t>Строительство блочно-модульной газовой котельной в д. Савватьево Каблуковского с/п с инженерными сетями к ней, мощностью 1,93 Гкал/час.</t>
  </si>
  <si>
    <t>Строительство газовой котельной в ж/д. ст. Кулицкая с инженерными сетями к ней</t>
  </si>
  <si>
    <t>Техническое перевооружение опасного производственного объекта «Система теплоснабжения д. Колталово», рег. № А05-12035-0009, III класс опасности, в части замены применяемых на опасном производственном объекте технических устройств: котлов, горелок, газорегуляторной установки в котельной по адресу: Тверская область, р-н Калининский, с/п Красногорское, д. Колталово</t>
  </si>
  <si>
    <t>Техническое перевооружение опасного производственного объекта «Система теплоснабжения с. Красная Гора», рег. № А05-12035-0007, III класс опасности, в части замены применяемых на опасном производственном объекте технических устройств: котлов, горелок, газорегуляторной установки в котельной по адресу: Российская Федерация. Тверская область, м.р-н Калининский, с.п. Красногорское, с. Красная Гора</t>
  </si>
  <si>
    <t xml:space="preserve">Строительство блочно-модульной котельной в д. Квакшино Верхневолжского с/п с сетями, мощностью 4,8 МВт  </t>
  </si>
  <si>
    <t>Строительство блочно-модульной котельной  мощностью 9,0 МВт для теплоснабжения пгт Орша с инженерными сетями к ней</t>
  </si>
  <si>
    <t>Строительство газовой котельной в пос. Заволжский с инженерными сетями к ней</t>
  </si>
  <si>
    <t xml:space="preserve">Перевод на индивидуальное газовое отопление 5  многоквартирных домов в с. Петровское Верхневолжского с/п, в том числе инженерные сети </t>
  </si>
  <si>
    <t>Газификация многоквартирных жилых домов  в д. Митенево Калининского муниципального округа Тверской области</t>
  </si>
  <si>
    <t xml:space="preserve">Перевод на индивидуальное газовое отопление  многоквартирного дома (8 квартрир) в д. Андрианово Черногубовского сельского поселения, в том числе инженерные сети: </t>
  </si>
  <si>
    <t>03 1 01 20120</t>
  </si>
  <si>
    <t>Улучшение экологической ситуации на территории Калининского муниципального округа, путем совершенствования коммунальной инфраструктуры</t>
  </si>
  <si>
    <t>Строительство очистных сооружений в пгт Суховерково Калининского муниципального округа</t>
  </si>
  <si>
    <t>Строительство очистных сооружений, включая инженерные сети до очистных сооружений, в д. Рязаново Калининского муниципального округа</t>
  </si>
  <si>
    <t>Строительство очистных сооружений мощностью 140м3/сут в с. Красная Гора Калининского муниципального округа</t>
  </si>
  <si>
    <t>Установка комплекса водоочистки  40 м3/ч в п.г.т. Васильевский Мох Калининского муниципального округа</t>
  </si>
  <si>
    <t>Установка комплекса водоочистки 40 м3/ч в п.г.т. Орша Калининского муниципального округа</t>
  </si>
  <si>
    <t>Установка комплекса водоочистки 5 м3/ч в д. Даниловское Калининского муниципального округа</t>
  </si>
  <si>
    <t>Модернизация системы водоснабжения д. Андрейково Калининского муниципального округа</t>
  </si>
  <si>
    <t>03 1 01 20130</t>
  </si>
  <si>
    <t>Содержание и обслуживание объектов коммунальной инфраструктуры</t>
  </si>
  <si>
    <t>03 1 01 20140</t>
  </si>
  <si>
    <t>Обеспечение инженерной инфраструктурой земельных участков, подлежащих предоставлению для жилищного строительства семьям, имеющим трех и более детей</t>
  </si>
  <si>
    <t>03 2 00 00000</t>
  </si>
  <si>
    <t>Подпрограмма  "Газификация населенных пунктов Калининского муниципального округа на  период 2024-2029 годов"</t>
  </si>
  <si>
    <t>03 2 01 00000</t>
  </si>
  <si>
    <t>Повышение жизненного уровня населения Калининского муниципального округа, создание комфортных условий проживания</t>
  </si>
  <si>
    <t>03 2 01 10100</t>
  </si>
  <si>
    <t>Расходы на развитие системы газоснабжения населенных пунктов Калининского муниципального округа</t>
  </si>
  <si>
    <t>03 2 01 S0100</t>
  </si>
  <si>
    <t>03 2 01 20210</t>
  </si>
  <si>
    <t>Строительство межпоселковых и внутрипоселковых газопроводов</t>
  </si>
  <si>
    <t>Газификация д. Кольцово Калининского муниципального округа Тверской области</t>
  </si>
  <si>
    <t>Газификация д.Андреевское, д.Избрижье, д.Шернево Калининского муниципального округа Тверской области</t>
  </si>
  <si>
    <t>Газифинация д. Сергеевка Калининского муниципального округа Тверской области</t>
  </si>
  <si>
    <t>Газификация д. Греблево Калининского муниципального округа Тверской области</t>
  </si>
  <si>
    <t>Газифинация  д. Левобережная Калининского муниципального округа Тверской области</t>
  </si>
  <si>
    <t>Газифинация  д.  Мишнево  Калининского муниципального округа Тверской области</t>
  </si>
  <si>
    <t>Газификация  д. Нефедьево  Калининского муниципального округа Тверской области</t>
  </si>
  <si>
    <t>Газификация  д. Лисицы Калининского муниципального округа Тверской области</t>
  </si>
  <si>
    <t>Газификация  д. Судимирка Калининского муниципального округа Тверской области»</t>
  </si>
  <si>
    <t>Распределительный газопровод в д. Калистово Калининского муниципального округа Тверской области</t>
  </si>
  <si>
    <t>Газоснабжение д. Протасово Кулицкого сельского поселения</t>
  </si>
  <si>
    <t>Газоснабжение д. Домниково Калининского муниципального округа Тверской области</t>
  </si>
  <si>
    <t>Газоснабжение населенных пунктов Волынцево, Тутань, Кумордино Калининского муниципального округа Тверской области</t>
  </si>
  <si>
    <t>Газоснабжение населенных пунктов д. Ветлино д. Андрианово Калининского муниципального округа Тверской области</t>
  </si>
  <si>
    <t>Газоснабжение д. Сухой Ручей Калининского муниципального округа Тверской области</t>
  </si>
  <si>
    <t>Газоснабжение д. Турово, д. Вески, Маяк, Яковлево, Сотцы, Яменское, Фефелово, Шипулино, Глездово, Львово, Ананьино Калининского муниципального округа</t>
  </si>
  <si>
    <t xml:space="preserve">Газоснабжение населенных пунктов Помисово, Головино, Пчельниково, Погорельцы, Коленово, Пантелеево, Романово, Панино Калининского муниципального округа Тверской области </t>
  </si>
  <si>
    <t>Газоснабжение от д. Волынцево до д.Семёновское Калининского муниципального округа Тверской области</t>
  </si>
  <si>
    <t>Газоснабжение населенных пунктов  Рождество, Стренево, Князево  Медновского сельского поселения Калининского  муниципального округа Тверской области</t>
  </si>
  <si>
    <t>Распределительный газопровод по с.Петровское Калининского муниципального округа Тверской области</t>
  </si>
  <si>
    <t>Межпоселковый газопровод д. Рязаново - с. Петровское Калининского муниципального округа Тверской области с отводами на населенные пункты д. Марьино, д. Львово, д. Башмаково, д. Курово, д. Царево</t>
  </si>
  <si>
    <t>Межпоселковый газопровод от д. Колталово до д. Рубцово, д. Беседы, д. Моркино-Городище, д. Дубровки и внутрипоселковые газовые сети в населенных пунктах</t>
  </si>
  <si>
    <t>Межпоселковый газопровод от д. Рязаново до д. Федоровское-д. Савино и внутрипоселковые газовые сети в населенных пунктах Федоровское и Савино Калининского района Тверской области</t>
  </si>
  <si>
    <t>Межпоселковый газопровод и внутрипоселковые газовые сети в населенных пунктах д. Лясково,  д. Жирносово Калининского муниципального  округа Тверской области</t>
  </si>
  <si>
    <t>Газоснабжение населенных пунктов  Щербинино, Поминово, Осекино, Марьино Калининского муниципального округа Тверской области</t>
  </si>
  <si>
    <t>Газификация д. Панино Калининского муниципального округа</t>
  </si>
  <si>
    <t>Газификация д. Поддубье Калининского муниципального округа</t>
  </si>
  <si>
    <t>Межпоселковый газопровод и внутрипоселковые сети Тургиновского сельского поселения: д.Костьково,д.Головачёво, д.Дудино, д.Большие Горки Калининского муниципального округа (1 этап проектирования)</t>
  </si>
  <si>
    <t>Межпоселковый газопровод от д. Судимирка до д.Видогощи Калининского муниципального округа Тверской области и внутрипоселковые газовые сети по населенному пункту</t>
  </si>
  <si>
    <t>Межпоселковый газопровод к населенным пунктам Гришкино малое, Измайлово, Желнино, Бойково, Новинки, Лукьяново</t>
  </si>
  <si>
    <t>Газоснабжение населенных пунктов Труново, Перхурово, Азарниково, Чудово, Бакшеево, Маслово, Козлятьево Калининского муниципального округа Тверской области</t>
  </si>
  <si>
    <t>Газоснабжение населенных пунктов Крюково, Кашино, Анисимово, Заовражье, Филипцево Калининского муниципального округа Тверской области"</t>
  </si>
  <si>
    <t>Газоснабжение от д. Шернево до д. Малая Избрижка, Гудково, Заборовье, Берглезово, Шутово Калининского муниципального округа Тверской области</t>
  </si>
  <si>
    <t>Газоснабжение населенных пунктов Пенчино, Савино, Зинцово Калининского муниципального округа Тверской области</t>
  </si>
  <si>
    <t>Газоснабжение населенных пунктов Осинки, Фенино, Буявино Калининского муниципального округа Тверской области</t>
  </si>
  <si>
    <t>Газоснабжение населенных пунктов Ильино, Тенешкино, Курганово Калининского муниципального округа Тверской области</t>
  </si>
  <si>
    <t>Распределительный газопровод по населенным пунктам Гришкино малое, Измайлово, Желнино, Бойково, Новинки, Лукьяново</t>
  </si>
  <si>
    <t>Газоснабжение населенных пунктов Настасино, Мерлово, Почеп, Григорьево, Давыдово Калининского муниципального округа Тверской области</t>
  </si>
  <si>
    <t>Газоснабжение населенных пунктов Напрудное, Мозжарино Калининского муниципального округа Тверской области</t>
  </si>
  <si>
    <t>Межпоселковый газопровод и внутрипоселковые  газовые сети в населенных пунктах д.Лясково, д.Жирносово, д. Заболотье, д.Трестино, д.Мухино, д.Заречье, д.Новосельцы, д.Ивановские Горки, д.Лямово, д.Ивановское (2 этап проектирования: д. Заболотье, д. Трестино, д. Мухино, д. Заречье, д. Новосельцы)</t>
  </si>
  <si>
    <t>Газоснабжение населенных пунктов  Рагозино, Сухарево  Калининского муниципального округа Тверской области</t>
  </si>
  <si>
    <t>Газоснабжение населенных пунктов Дуденцы, Кошелево, Малые Горки, Бегуново Калининского муниципального округа Тверской области</t>
  </si>
  <si>
    <t>Газоснабжение населенных пунктов Поддубки, Покровское, Малое Алексеевское Калининского муниципального округа Тверской области</t>
  </si>
  <si>
    <t>Распределительный газопровод по населенным пунктам Чадово, Дуденево Калининского муниципального округа Тверской области</t>
  </si>
  <si>
    <t>Газоснабжение населенных пунктов Ширяево,Денисово, Сбынь, Пургасово Калининского муниципального округа Тверской области</t>
  </si>
  <si>
    <t>Газоснабжение д. Губино  Калининского муниципального округа Тверской области»</t>
  </si>
  <si>
    <t>Газоснабжение от д. Князево до д. Родионово Калининского муниципального округа Тверской области</t>
  </si>
  <si>
    <t>Газоснабжение д. Прибытково  Калининского муниципального округа Тверской области</t>
  </si>
  <si>
    <t>Газоснабжение д.Аксинькино Калининского муниципального округа Тверской области</t>
  </si>
  <si>
    <t>Газоснабжение населенных пунктов Емельянцево, Матвеевское, Рябцево, Клеопино, Любалево, Устиново, Ручково, Большое Селище, Зверево Калининского муниципального округа Тверской области</t>
  </si>
  <si>
    <t xml:space="preserve">Газоснабжение населенных пунктов Сакулино, Кашенцево, Троица, Крутые горки, Нездылово, Новое Чопрово, Кулицкая, Рагодино, Старое Чопрово, Красный Бор Калининского муниципального округа Тверской области </t>
  </si>
  <si>
    <t>Газоснабжение населенных пунктов Горбово, Хохряково, Арининское, Симоново, Амачкино, Долгушево Калининского муниципального округа Тверской области</t>
  </si>
  <si>
    <t>Газоснабжение населенных пунктов Пуково, Софьино, Александровка Калининского муниципального округа Тверской области</t>
  </si>
  <si>
    <t>Межпоселковый газопровод и внутрипоселковые  газовые сети в населенных пунктах д.Лясково, д.Жирносово, д. Заболотье, д.Трестино, д.Мухино, д.Заречье, д.Новосельцы, д.Ивановские Горки, д.Лямово, д.Ивановское (3 этап проектирования: д.Ивановские Горки, д.Лямово, д.Ивановское)</t>
  </si>
  <si>
    <t>Газоснабжение населенных пунктов Ивановское и Тухинь</t>
  </si>
  <si>
    <t>«Газоснабжение населенных пунктов Люшино, Новое, Нешарово, Большое Бесково, Войлово, Симоново, Пирогово, Киверниково, Нелидово, Леушино, Пяткино, Абутьково, Подолово Калининского муниципального округа Тверской области</t>
  </si>
  <si>
    <t>Газоснабжение населенных пунктов Куркино, Цветково, Шокорово, Сушково,  Починки, Иванцево  Калининского муниципального округа Тверской области</t>
  </si>
  <si>
    <t>Газоснабжение населенных пунктов Красная Пресня, Трубино Калининского муниципального округа Тверской области</t>
  </si>
  <si>
    <t>Газоснабжение населенных пунктов Панигино, Матеево, Букстово, Быково, Якимово, Калошино Калининского муниципального округа Тверской области</t>
  </si>
  <si>
    <t>Газоснабжение населенных пунктов Миснево, Полукарпово, Кузьминка, Кузьминское Калининского муниципального округа Тверской области»</t>
  </si>
  <si>
    <t>Газоснабжение населенных пунктов Володеево, Гудово, Антоново, Порядино, Шульгино, Шалайково,  Калининского муниципального округа Тверской области</t>
  </si>
  <si>
    <t>Газоснабжение населенных пунктов Харитоново,  Игрище Калининского муниципального округа Тверской области</t>
  </si>
  <si>
    <t>Газоснабжение населенных пунктов Сельцо, Доборшино, Пищулино, Асаевские Горки Калининского муниципального округа Тверской области»</t>
  </si>
  <si>
    <t xml:space="preserve">Газоснабжение населенных пунктов Новенькое, Лесная Поляна  Калининского муниципального округа Тверской области </t>
  </si>
  <si>
    <t>Газоснабжение населенных пунктов Бельцы, Оздихово, Гинделево, Слободка, Озерецкое Калининского муниципального округа Тверской области</t>
  </si>
  <si>
    <t>Газоснабжение д. Букарево Калининского муниципального округа Тверской области</t>
  </si>
  <si>
    <t xml:space="preserve">Газоснабжение населенных пунктов Кунькино, Благодатная Калининского муниципального округа Тверской области </t>
  </si>
  <si>
    <t>Газоснабжение населенных пунктов Климтино, Ремязино Калининского муниципального округа Тверской области</t>
  </si>
  <si>
    <t>03 4 00 00000</t>
  </si>
  <si>
    <t xml:space="preserve">Подпрограмма "Экологическое воспитание и формирование экологической культуры в области обращения с твердыми коммунальными отходами на территории Калининского муниципального округа
</t>
  </si>
  <si>
    <t>03 4 01 00000</t>
  </si>
  <si>
    <t>Создание и развитие инфраструктуры экологически безопасного накопления (в т.ч. раздельного накопления), сбора, транспортирования твердых коммунальных отходов</t>
  </si>
  <si>
    <t>03 4 01 20110</t>
  </si>
  <si>
    <t>Создание мест (площадок) накопления твердых коммунальных отходов</t>
  </si>
  <si>
    <t>05 03</t>
  </si>
  <si>
    <t xml:space="preserve">03 4 02 00000 </t>
  </si>
  <si>
    <t xml:space="preserve">Повышение экологической культуры и степени вовлеченности населения в вопросы обращения с отходами потребления </t>
  </si>
  <si>
    <t xml:space="preserve">03 4 02 20220 </t>
  </si>
  <si>
    <t>Ликвидация мест несанкционированного размещения твердых коммунальных отходов</t>
  </si>
  <si>
    <t>04 0 00 00000</t>
  </si>
  <si>
    <t>Муниципальная программа "Управление муниципальным имуществом и земельными ресурсами Калининского муниципального округа Тверской области на 2025-2030 годы"</t>
  </si>
  <si>
    <t>04 1 00 00000</t>
  </si>
  <si>
    <t>Подпрограмма " Землеустройство"</t>
  </si>
  <si>
    <t>04 1 01 00000</t>
  </si>
  <si>
    <t>Кадастровые, геодезические и картографические работы на земельных участках и их оценка</t>
  </si>
  <si>
    <t>04 1 01 20010</t>
  </si>
  <si>
    <t>Проведение кадастровых, геодезических и картографических работ и независимая оценка стоимости земельных участков</t>
  </si>
  <si>
    <t>04 12</t>
  </si>
  <si>
    <t xml:space="preserve">04 1 01 L5990 </t>
  </si>
  <si>
    <t>Подготовка проектов межевания земельных участков и проведение кадастровых работ за счет средств округа</t>
  </si>
  <si>
    <t>04 05</t>
  </si>
  <si>
    <t>04 1 02 00000</t>
  </si>
  <si>
    <t>Проведение муниципального земельного контроля на предмет нарушения земельного законодательства</t>
  </si>
  <si>
    <t>04 1 02 20010</t>
  </si>
  <si>
    <t>04 1 03 00000</t>
  </si>
  <si>
    <t>Работа с арендаторами по своевременной уплате аренды за земельные участки, работа по 518-ФЗ, работа в рамках 59-ФЗ</t>
  </si>
  <si>
    <t>04 1 03 20010</t>
  </si>
  <si>
    <t>Работа с арендаторами и рассылка исходящей корреспонденции</t>
  </si>
  <si>
    <t>04 1 04 00000</t>
  </si>
  <si>
    <t>Создание условий для развития инфраструктуры на территории Калининского муниципального округа</t>
  </si>
  <si>
    <t>04 1 04 20010</t>
  </si>
  <si>
    <t>Проведение обследования земельных участков</t>
  </si>
  <si>
    <t>04 1 04 20020</t>
  </si>
  <si>
    <t>Обеспечение инженерной инфраструктурой земельных участков Калининского муниципального округа Тверской области</t>
  </si>
  <si>
    <t>04 1 04 20030</t>
  </si>
  <si>
    <t>Публикация информации в региональных СМИ</t>
  </si>
  <si>
    <t>04 2 00 00000</t>
  </si>
  <si>
    <t>Подпрограмма " Управление муниципальным имуществом"</t>
  </si>
  <si>
    <t>04 2 01 00000</t>
  </si>
  <si>
    <t>Инвентаризация, постановка на кадастровый учет объектов недвижимого имущества Калининского муниципального округа</t>
  </si>
  <si>
    <t>04 2 01 20010</t>
  </si>
  <si>
    <t>Инвентаризация, постановка на кадастровый учет объектов недвижимого имущества</t>
  </si>
  <si>
    <t>01 13</t>
  </si>
  <si>
    <t>04 2 02 00000</t>
  </si>
  <si>
    <t>Оценка муниципального имущества Калининского муниципального округа</t>
  </si>
  <si>
    <t>04 2 02 20020</t>
  </si>
  <si>
    <t>Оценка объектов муниципального имущества Калининского муниципального округа</t>
  </si>
  <si>
    <t>04 2 03 00000</t>
  </si>
  <si>
    <t>Содержание муниципальной казны Калининского муниципального округа</t>
  </si>
  <si>
    <t>04 2 03 20030</t>
  </si>
  <si>
    <t>Содержание имущества казны  муниципального образования</t>
  </si>
  <si>
    <t>800</t>
  </si>
  <si>
    <t>Иные бюджетные ассигнования</t>
  </si>
  <si>
    <t>850</t>
  </si>
  <si>
    <t>Уплата налогов, сборов и иных платежей</t>
  </si>
  <si>
    <t>04 2 04 00000</t>
  </si>
  <si>
    <t>Выявление, учет и оформление бесхозяйного и выморочного имущества</t>
  </si>
  <si>
    <t>04 2 04 20040</t>
  </si>
  <si>
    <t>Оформление права муниципальной собственности на выморочное имущество</t>
  </si>
  <si>
    <t>04 2 04 20050</t>
  </si>
  <si>
    <t>Инвентаризация, постановка на кадастровый учет бесхозяйных объектов недвижимого имущества</t>
  </si>
  <si>
    <t>04 2 06 00000</t>
  </si>
  <si>
    <t>Предупреждение банкротства, восстановление платежеспособности муниципальных унитарных предприятий</t>
  </si>
  <si>
    <t>04 2 06 20620</t>
  </si>
  <si>
    <t xml:space="preserve"> Субсидия Муниципальному  унитарному предприятию Калининского муниципального округа Тверской области «Коммунальные системы Калининского округа» на финансовое обеспечение затрат, необходимых для погашения просроченной кредиторской задолженности за энергоресурсы </t>
  </si>
  <si>
    <t>810</t>
  </si>
  <si>
    <t>05 05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</si>
  <si>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</si>
  <si>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04 3 00 00000</t>
  </si>
  <si>
    <t>Подпрограмма "Создание комфортных жилищных условий для отдельных категорий граждан"</t>
  </si>
  <si>
    <t>04 3 01 00000</t>
  </si>
  <si>
    <t>Обслуживание имущества жилого фонда казны Калининского муниципального округа Тверской области.</t>
  </si>
  <si>
    <t>04 3 01 20010</t>
  </si>
  <si>
    <t>Средства на уплату взносов на капитальный ремонт общего имущества в многоквартирном доме за жилое помещение, занимаемое по договору найма жилого помещения муниципального жилого фонда</t>
  </si>
  <si>
    <t>05 01</t>
  </si>
  <si>
    <t>04 3 01 20020</t>
  </si>
  <si>
    <t>Содержание жилого фонда Калининского муниципального округа Тверской области</t>
  </si>
  <si>
    <t>04 3 02 00000</t>
  </si>
  <si>
    <t xml:space="preserve">Обеспечение жилыми помещениями отдельных категорий граждан </t>
  </si>
  <si>
    <t>04 3 02 20010</t>
  </si>
  <si>
    <t>Приобретение в муниципальную собственность жилых помещений (квартир) в целях формирования  жилого фонда</t>
  </si>
  <si>
    <t xml:space="preserve">Бюджетные инвестиции </t>
  </si>
  <si>
    <t>05 0 00 00000</t>
  </si>
  <si>
    <t>Муниципальная программа "Развитие культуры, физической культуры и спорта, молодежной политики в Калининском муниципальном округе Тверской области на 2024-2029 годы"</t>
  </si>
  <si>
    <t>05 1 00 00000</t>
  </si>
  <si>
    <t>Подпрограмма "Комплексные мероприятия в отрасли "Культура и молодежная политика" в  Калининском муниципальном округе Тверской области на 2024-2029 годы"</t>
  </si>
  <si>
    <t>05 1 01 00000</t>
  </si>
  <si>
    <t>Создание условий для организации и проведения культурно-массовых и молодежных мероприятий на территории Калининского округа</t>
  </si>
  <si>
    <t>05 1 01 19057</t>
  </si>
  <si>
    <t>Реализация программ по поддержке местных инициатив в Тверской области. Приобретение оборудования для проведения культурно-массовых, общественно и социально значимых мероприятий в МКУ "Заволжское ОКДЦ" филиал ДК "Мермерины" Калининского округа</t>
  </si>
  <si>
    <t>08 01</t>
  </si>
  <si>
    <t>05 1 01 S9057</t>
  </si>
  <si>
    <t>05 1 01 19058</t>
  </si>
  <si>
    <t>Реализация программ по поддержке местных инициатив в Тверской области. Приобретение звукового оборудования для проведения массовых мероприятий МКУ "Савватьевское ОКДЦ" Калининского округа</t>
  </si>
  <si>
    <t>05 1 01 S9058</t>
  </si>
  <si>
    <t>05 1 01 19059</t>
  </si>
  <si>
    <t>Реализация программ по поддержке местных инициатив в Тверской области. Ремонт тренажерного зала в МКУ "Калининский культурно-досуговый центр" Калининского округа Тверской области</t>
  </si>
  <si>
    <t>05 1 01 S9059</t>
  </si>
  <si>
    <t>05 1 01 20010</t>
  </si>
  <si>
    <t>Создание условий для организации и проведения культурно-массовых и молодежных мероприятий</t>
  </si>
  <si>
    <t>05 1 01 20020</t>
  </si>
  <si>
    <t xml:space="preserve">Проведение ремонта зданий и помещений муниципальных учреждений культуры </t>
  </si>
  <si>
    <t>05 1 01 L4670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</si>
  <si>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</si>
  <si>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Обеспечение развития и укрепления материально-технической базы домов культуры в населенных пунктах с числом жителей до 50 тысяч человек за счет средств  бюджета округа</t>
  </si>
  <si>
    <t>05 1 01 S9000</t>
  </si>
  <si>
    <t>Расходы на реализацию программы по поддержке местных инициатив</t>
  </si>
  <si>
    <t>05 1 02 00000</t>
  </si>
  <si>
    <t>Создание условий для сохранения и развития библиотечной системы на территории Калининского муниципального округа</t>
  </si>
  <si>
    <t>05 1 02 20010</t>
  </si>
  <si>
    <t>Создание условий для сохранения и развития библиотечной системы</t>
  </si>
  <si>
    <t>05 1 02 20020</t>
  </si>
  <si>
    <t>Комплектование библиотечных фондов</t>
  </si>
  <si>
    <t>05 1 02 L5199</t>
  </si>
  <si>
    <t xml:space="preserve">Государственная поддержка отрасли культуры (модернизации библиотек в части комплектования книжных фондов библиотек муниципальных образований) </t>
  </si>
  <si>
    <t>Государственная поддержка отрасли культуры (модернизации библиотек в части комплектования книжных фондов библиотек муниципальных образований) за счет средств бюджета округа</t>
  </si>
  <si>
    <t>05 1 03 00000</t>
  </si>
  <si>
    <t>Проведение культурно-массовых и молодежных мероприятий на территории Калининского округа</t>
  </si>
  <si>
    <t>05 1 03 20010</t>
  </si>
  <si>
    <t>Проведение культурно-массовых и молодежных мероприятий</t>
  </si>
  <si>
    <t>05 1 04 00000</t>
  </si>
  <si>
    <t>Комплексные меры по противодействию экстремизму и профилактика терроризма, профилактике правонарушений и употреблению наркотических средств и их незаконному обороту</t>
  </si>
  <si>
    <t>05 1 04 20030</t>
  </si>
  <si>
    <t>Комплексная профилактика правонарушений в   Калининском муниципальном округе Тверской области</t>
  </si>
  <si>
    <t>03 14</t>
  </si>
  <si>
    <t>05 1 04 20040</t>
  </si>
  <si>
    <t>Комплексные меры противодействия злоупотреблению наркотическими средствами, психотропными веществами и их незаконному обороту в  Калининском муниципальном округе Тверской области</t>
  </si>
  <si>
    <t>05 1 05 00000</t>
  </si>
  <si>
    <t>Повышение заработной платы работникам муниципальных учреждений культуры Калининского муниципального округа Тверской области</t>
  </si>
  <si>
    <t>05 1 05 10680</t>
  </si>
  <si>
    <t>Расходы на повышение заработной платы работникам муниципальных учреждений культуры Тверской области</t>
  </si>
  <si>
    <t>05 1 05 S0680</t>
  </si>
  <si>
    <t>Расходы  на повышение заработной платы работникам муниципальных учреждений культуры Тверской области за счет средств бюджета округа</t>
  </si>
  <si>
    <t>05 1 06 00000</t>
  </si>
  <si>
    <t>Содействие развитию гражданско-патриотического и духовно-нравственного воспитания молодежи</t>
  </si>
  <si>
    <t>05 1 06 10280</t>
  </si>
  <si>
    <t xml:space="preserve">Проведение работ по восстановлению воинских захоронений </t>
  </si>
  <si>
    <t>05 1 06 20090</t>
  </si>
  <si>
    <t>Обустройство и восстановление воинских захоронений в рамках подготовки к празднованию  80-летия Победы в Великой Отечественной войне 1941-1945 годов</t>
  </si>
  <si>
    <t>05 1 06 S0280</t>
  </si>
  <si>
    <t>Проведение работ по восстановлению воинских захоронений за счет средств бюджета округа</t>
  </si>
  <si>
    <t>05 2 00 00000</t>
  </si>
  <si>
    <t>Подпрограмма "Комплексные мероприятия в отрасли «Физическая культура и спорт»» в Калининском муниципальном округе Тверской области на 2024-2029 годы"</t>
  </si>
  <si>
    <t>05 2 01 00000</t>
  </si>
  <si>
    <t>Развитие  физкультурно-оздоровительного движения и массового спорта среди всех возрастных групп и категорий населения Калининского муниципального округа, включая лиц с ограниченными возможностями здоровья и инвалидов</t>
  </si>
  <si>
    <t>05 2 01 20010</t>
  </si>
  <si>
    <t>11 01</t>
  </si>
  <si>
    <t>05 2 02 00000</t>
  </si>
  <si>
    <t>Развитие инфраструктуры массового спорта, укрепление материально технической базы</t>
  </si>
  <si>
    <t>05 2 02 20010</t>
  </si>
  <si>
    <t xml:space="preserve">Организация и проведение массовых спортивно- оздоровительных мероприятий </t>
  </si>
  <si>
    <t>11 02</t>
  </si>
  <si>
    <t>05 2 02 20060</t>
  </si>
  <si>
    <t>Обустройство и содержание спортивных площадок</t>
  </si>
  <si>
    <t>05 3 00 00000</t>
  </si>
  <si>
    <t>Подпрограмма "Предоставление дополнительного образования в сфере "Культура"</t>
  </si>
  <si>
    <t>05 3 01 00000</t>
  </si>
  <si>
    <t>Создание условий для предоставления дополнительного образования</t>
  </si>
  <si>
    <t>05 3 01 10690</t>
  </si>
  <si>
    <t>05 3 01 20010</t>
  </si>
  <si>
    <t>05 3 01 S0690</t>
  </si>
  <si>
    <t>Расходы на повышение заработной платы педагогическим работникам муниципальных организаций дополнительного образования за счет средств бюджета округа</t>
  </si>
  <si>
    <t>05 3 02 20010</t>
  </si>
  <si>
    <t>Развитие кадрового потенциала педагогических работников дополнительного образования</t>
  </si>
  <si>
    <t>07 05</t>
  </si>
  <si>
    <t>05 4 00 00000</t>
  </si>
  <si>
    <t>Подпрограмма "Создание условий для развития туристской отрасли на территории  Калининского муниципального округа"</t>
  </si>
  <si>
    <t>05 4 01 00000</t>
  </si>
  <si>
    <t>Продвижение туристских ресурсов Калининского муниципального округа</t>
  </si>
  <si>
    <t>05 4 01 20010</t>
  </si>
  <si>
    <t>Продвижение туристских ресурсов</t>
  </si>
  <si>
    <t>06 0 00 00000</t>
  </si>
  <si>
    <t>Муниципальная программа "Экономическое развитие Калининского муниципального округа  Тверской области на 2024-2029 годы"</t>
  </si>
  <si>
    <t>06 1 00 00000</t>
  </si>
  <si>
    <t>Подпрограмма "Совершенствование системы мониторинга и прогнозирования социально-экономического развития Калининского муниципального округа"</t>
  </si>
  <si>
    <t>06 1 02 00000</t>
  </si>
  <si>
    <t>Формирование документов текущего и стратегического социально-экономического развития Калининского муниципального округа</t>
  </si>
  <si>
    <t>06 1 02 20010</t>
  </si>
  <si>
    <t>Формирование сводного банка данных статистической информации"</t>
  </si>
  <si>
    <t>06 3 00 00000</t>
  </si>
  <si>
    <t>Подпрограмма "Обеспечение развития инвестиционного потенциала Калининского муниципального округа"</t>
  </si>
  <si>
    <t>06 3 02 00000</t>
  </si>
  <si>
    <t>Обеспечение благоприятных условий для реализации инвестиционных проектов на территории Калининского муниципального округа</t>
  </si>
  <si>
    <t>06 3 02 20020</t>
  </si>
  <si>
    <t>Актуализация инвестиционного портала Калининского муниципального округа Тверской области</t>
  </si>
  <si>
    <t>07 0 00 00000</t>
  </si>
  <si>
    <t>Муниципальная программа "Поддержка и развитие редакции газеты Ленинское знамя на 2024-2029 годы"</t>
  </si>
  <si>
    <t>07 1 00 00000</t>
  </si>
  <si>
    <t>Подпрограмма "Поддержка общественного сектора и обеспечение информационной открытости деятельности органов власти"</t>
  </si>
  <si>
    <t>07 1 01 00000</t>
  </si>
  <si>
    <t>Поддержка и развитие АНО "Редакция газеты "Ленинское знамя"</t>
  </si>
  <si>
    <t>07 1 01 10320</t>
  </si>
  <si>
    <t>Расходы на поддержку редакций районных и городских газет</t>
  </si>
  <si>
    <t>630</t>
  </si>
  <si>
    <t>12 04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</si>
  <si>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</si>
  <si>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07 1 01 S0320</t>
  </si>
  <si>
    <t>Расходы на поддержку редакции    газеты «Ленинское знамя»</t>
  </si>
  <si>
    <t>07 1 02 00000</t>
  </si>
  <si>
    <t>Укрепление материально-технической базы и обеспечение устойчивого развития АНО "Редакция газеты "Ленинское знамя" и сетевого издания «Ленинское знамя»</t>
  </si>
  <si>
    <t>07 1 02 10490</t>
  </si>
  <si>
    <t>Расходы на развитие материально-технической базы редакций районных и городских газет</t>
  </si>
  <si>
    <t>07 1 02 S0490</t>
  </si>
  <si>
    <t>Расходы на развитие материально-технической базы редакции   газеты</t>
  </si>
  <si>
    <t>08 0 00 00000</t>
  </si>
  <si>
    <t>Муниципальная программа «Развитие системы гражданской обороны, защиты населения от чрезвычайных ситуаций природного и техногенного характера, снижения рисков их возникновения на территории Калининского муниципального округа Тверской области на  2024-2029 годы»</t>
  </si>
  <si>
    <t>08 1 00 00000</t>
  </si>
  <si>
    <t>Подпрограмма "Создание условий для успешного развития системы гражданской обороны  на территории Калининского муниципального округа Тверской области".</t>
  </si>
  <si>
    <t>08 1 03 00000</t>
  </si>
  <si>
    <t>Создание условий для накопления, хранения и использования в целях ГО материально-технических, продовольственных, медицинских и иных запасов (в т.ч. для комплектования запасного пункта управления и пунктов временного размещения Калининского муниципального округа Тверской области)</t>
  </si>
  <si>
    <t>08 1 03 20090</t>
  </si>
  <si>
    <t>Закупка материально-технических, продовольственных, медицинских и иных  запасов в целях гражданской обороны</t>
  </si>
  <si>
    <t>03 10</t>
  </si>
  <si>
    <t>08 1 04 00000</t>
  </si>
  <si>
    <t>Защита государственной тайны в администрации Калининского муниципального округа Тверской области</t>
  </si>
  <si>
    <t>08 1 04 20020</t>
  </si>
  <si>
    <t>Проведение мероприятий по аттестации и контролю эффективности объекта вычислительной техники и выделенного помещения администрации для проведения совещаний и работ с документами (в составе из 1-го и 2-го АРМ)</t>
  </si>
  <si>
    <t>08 2 00 00000</t>
  </si>
  <si>
    <t>Подпрограмма  "Создание условий для защиты населения и территорий от чрезвычайных ситуаций природного и техногенного характера в мирное и военное время на территории Калининского муниципального округа Тверской области"</t>
  </si>
  <si>
    <t>08 2 01 00000</t>
  </si>
  <si>
    <t>Обеспечение пожарной безопасности населения и безопасности людей на водных объектах в Калининском муниципальном округе Тверской области</t>
  </si>
  <si>
    <t>08 2 01 20020</t>
  </si>
  <si>
    <t>Обеспечение первичных мер пожарной безопасности, проведение профилактических работ по предупреждению возникновения пожаров</t>
  </si>
  <si>
    <t>08 2 01 20030</t>
  </si>
  <si>
    <t>Создание и содержание источников наружного водоснабжения, используемых в целях пожаротушения, расположенных на территории Калининского муниципального округа Тверской области</t>
  </si>
  <si>
    <t>08 2 01 20040</t>
  </si>
  <si>
    <t>Приобретение знаков и аншлагов</t>
  </si>
  <si>
    <t>08 2 02 00000</t>
  </si>
  <si>
    <t>Повышение уровня готовности к оперативному реагированию органов повседневного управления (дежурная смена ЕДДС) Калининского территориального звена Тверской территориальной подсистемы единой государственной системы предупреждения и ликвидации чрезвычайных ситуаций (далее – КТЗ ТТП РСЧС)</t>
  </si>
  <si>
    <t>08 2 02 20010</t>
  </si>
  <si>
    <t>Обеспечение деятельности функционирования дежурной смены ЕДДС Калининского муниципального округа, как органа повседневного управления КТЗ ТТП РСЧС</t>
  </si>
  <si>
    <t>08 2 03 00000</t>
  </si>
  <si>
    <t>Снижение времени реагирования на пожары, возникающие на территории Калининского муниципального округа"</t>
  </si>
  <si>
    <t>08 2 03 20030</t>
  </si>
  <si>
    <t>Проектирование и строительство пожарных депо на территории Калининского муниципального округа Тверской области</t>
  </si>
  <si>
    <t>08 2 04 00000</t>
  </si>
  <si>
    <t xml:space="preserve">Совершенствование работы по предупреждению и профилактике преступлений и правонарушений, совершаемых на улицах и других общественных местах </t>
  </si>
  <si>
    <t>08 2 04 20060</t>
  </si>
  <si>
    <t>Установка и содержание современных средств видеонаблюдения в местах массового пребывания людей и других общественных местах</t>
  </si>
  <si>
    <t>08 2 05 00000</t>
  </si>
  <si>
    <t>Обеспечение защиты населения и территорий Калининского муниципального округа от чрезвычайных ситуаций природного и техногенного характера в мирное и военное время</t>
  </si>
  <si>
    <t>08 2 05 20020</t>
  </si>
  <si>
    <t>Создание и содержание муниципальной автоматизированной системы централизованного оповещения населения Калининского муниципального округа Тверской области</t>
  </si>
  <si>
    <t>09 0 00 00000</t>
  </si>
  <si>
    <t>Муниципальная программа "Переселение граждан из аварийного и непригодного для проживания жилищного фонда села Тургиново Калининского муниципального округа Тверской области на 2024 -2029 годы"</t>
  </si>
  <si>
    <t>09 1 00 00000</t>
  </si>
  <si>
    <t>Подпрограмма "Переселение граждан из аварийного жилищного фонда"</t>
  </si>
  <si>
    <t>09 1 01 00000</t>
  </si>
  <si>
    <t>Снижение доли населения, проживающего в многоквартирных домах на территории Калининского муниципального округа Тверской области, признаных в установленном порядке авварийными</t>
  </si>
  <si>
    <t>09 1 01 29010</t>
  </si>
  <si>
    <t>Строительство  многоквартирного  дома по адресу Тверская область,  Калининский муниципальный округ, д. Тургиново, ул.Коммунальная, д.3"</t>
  </si>
  <si>
    <t>10 0 00 00000</t>
  </si>
  <si>
    <t>Муниципальная программа "Социальная поддержка населения Калининского муниципального округа Тверской области на 2024-2029 годы"</t>
  </si>
  <si>
    <t>10 1 00 00000</t>
  </si>
  <si>
    <t>Подпрограмма " Содействие в решении жилищных проблем малоимущих многодетных семей"</t>
  </si>
  <si>
    <t>10 1 01 00000</t>
  </si>
  <si>
    <t>Обеспечение жилыми помещениями малоимущих многодетных семей</t>
  </si>
  <si>
    <t>10 1 01 10290</t>
  </si>
  <si>
    <t>Обеспечение жилыми помещениями малоимущих многодетных семей, нуждающихся в жилых помещениях</t>
  </si>
  <si>
    <t>10 1 01 S0290</t>
  </si>
  <si>
    <t xml:space="preserve">Расходы на обеспечение жилыми помещениями малоимущих многодетных семей, нуждающихся в жилых помещениях за счет средств бюджета муниципального округа
</t>
  </si>
  <si>
    <t>10 2 00 00000</t>
  </si>
  <si>
    <t>Подпрограмма "Обеспечении жилыми помещениями детей-сирот и детей, оставшихся без попечения родителей"</t>
  </si>
  <si>
    <t>10 2 01 00000</t>
  </si>
  <si>
    <t>Выполнение государственных полномочий по обеспечению жилыми помещениями отдельных категорий граждан</t>
  </si>
  <si>
    <t>10 2 01 Д0820</t>
  </si>
  <si>
    <t xml:space="preserve">Осуществление государственных полномочий по обеспечению жилыми помещениями детей-сирот, детей, оставшихся без попечения родителей, лиц из их числа детей-сирот, детей, оставшихся без попечения родителей, за счет средств областного бюджета
</t>
  </si>
  <si>
    <t>10 2 01 R0820</t>
  </si>
  <si>
    <t>Осуществление государственных полномочий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федерального бюджета</t>
  </si>
  <si>
    <t>10 4 00 00000</t>
  </si>
  <si>
    <t>10 4 01 00000</t>
  </si>
  <si>
    <t>10 4 01 20020</t>
  </si>
  <si>
    <t>320</t>
  </si>
  <si>
    <t>Социальные выплаты гражданам, кроме публичных нормативных социальных выплат</t>
  </si>
  <si>
    <t>11 0 00 00000</t>
  </si>
  <si>
    <t>Муниципальная программа "Комплксное развитие сельских территорий Калининского муниципального округа Тверской области на 2024-2029 годы"</t>
  </si>
  <si>
    <t>11 1 00 00000</t>
  </si>
  <si>
    <t>Подпрограмма "Улучшение жилищных условий граждан, проживающих на сельских территориях Калининского муниципального округа"</t>
  </si>
  <si>
    <t>11 1 01 00000</t>
  </si>
  <si>
    <t>Строительство (приобретение) жилья  гражданам, проживающим на сельских территориях Калининского муниципального округа</t>
  </si>
  <si>
    <t>11 1 01 20190</t>
  </si>
  <si>
    <t xml:space="preserve">Предоставление социальных выплат на строительство (приобретение) жилья  отдельным категориям граждан, проживающим на сельских территориях Калининского муниципального округа
</t>
  </si>
  <si>
    <t>12 0 00 00000</t>
  </si>
  <si>
    <t>Муниципальная программа "Содержание и благоустройство территорий и населенных пунктов Калининского муниципального округа на период 2024-2029 годов"</t>
  </si>
  <si>
    <t>12 1 00 00000</t>
  </si>
  <si>
    <t>Подпрограмма "Комплексное развитие сферы благоустройства Калининского муниципального округа на период 2024- 2029 годов"</t>
  </si>
  <si>
    <t>12 1 01 00000</t>
  </si>
  <si>
    <t>Создание     комфортных условий проживания на территории Калининского муниципального округа"</t>
  </si>
  <si>
    <t>12 1 01 11450</t>
  </si>
  <si>
    <t>Поддержка обустройства мест массового отдыха населения (городских парков)</t>
  </si>
  <si>
    <t>12 1 01 S1450</t>
  </si>
  <si>
    <t xml:space="preserve">Обустройство мест массового отдыха населения </t>
  </si>
  <si>
    <t>12 1 01 20150</t>
  </si>
  <si>
    <t>Содержание  детских и спортивных площадок</t>
  </si>
  <si>
    <t>12 1 01 20160</t>
  </si>
  <si>
    <t>Приобретение и установка  детских площадок на территории населенных пунктов</t>
  </si>
  <si>
    <t>12 1 02 00000</t>
  </si>
  <si>
    <t>Организация уличного освещения и улучшение технического состояния электрических линий уличного освещения</t>
  </si>
  <si>
    <t>12 1 02 20230</t>
  </si>
  <si>
    <t>Организация и обслуживание сетей уличного освещения на территории округа</t>
  </si>
  <si>
    <t>12 2 00 00000</t>
  </si>
  <si>
    <t xml:space="preserve">Подпрограмма.   "Повышения уровня благоустройства и улучшение санитарного состояния на территории Калининского муниципального округа»
</t>
  </si>
  <si>
    <t>12 2 01 00000</t>
  </si>
  <si>
    <t xml:space="preserve">Предотвращение и ликвидация вредного воздействия отходов производства и потребления на окружающую среду
</t>
  </si>
  <si>
    <t>12 2 01 20210</t>
  </si>
  <si>
    <t>Содержание и ремонт мест (площадок) накопления твердых коммунальных отходов</t>
  </si>
  <si>
    <t>12 2 01 20220</t>
  </si>
  <si>
    <t>12 2 01 20230</t>
  </si>
  <si>
    <t>Проведение мероприятий по борьбе с борщевиком Сосновского, вырубке кустарников и мелколесья</t>
  </si>
  <si>
    <t>12 2 02 00000</t>
  </si>
  <si>
    <t>Организация благоустройства территорий Калининского муниципального округа"</t>
  </si>
  <si>
    <t>12 2 02 20210</t>
  </si>
  <si>
    <t>Обеспечение деятельности Муниципального бюджетного учреждения "Благоустройство" Калининского муниципального округа Тверской области"</t>
  </si>
  <si>
    <t>12 2 02 20220</t>
  </si>
  <si>
    <t>Содержание и благоустройство территорий общего пользования</t>
  </si>
  <si>
    <t>12 2 02 20230</t>
  </si>
  <si>
    <t>Содержание и ремонт мест захоронения</t>
  </si>
  <si>
    <t>12 2 02 20240</t>
  </si>
  <si>
    <t>Содержание воинских захоронений на территории округа</t>
  </si>
  <si>
    <t>12 2 02 20390</t>
  </si>
  <si>
    <t>Организация и проведение конкурса "Самый благоустроенный населенный пункт Калининского муниципального округа Тверской области"</t>
  </si>
  <si>
    <t>12 3 00 00000</t>
  </si>
  <si>
    <t>Подпрограмма "Поддержка местных инициатив на территории Калининского муниципального округа"</t>
  </si>
  <si>
    <t>12 3 01 00000</t>
  </si>
  <si>
    <t>Реализация программы по поддержке местных инициатив на территории  Калининского муниципального округа</t>
  </si>
  <si>
    <t>12 3 01 19044</t>
  </si>
  <si>
    <t>Реализация программ по поддержке местных инициатив в Тверской области. Благоустройство детской площадки в д. Мермерины Калининского округа Тверская области</t>
  </si>
  <si>
    <t>12 3 01 S9044</t>
  </si>
  <si>
    <t>12 3 01 19045</t>
  </si>
  <si>
    <t>Реализация программ по поддержке местных инициатив в Тверской области. Благоустройство детской площадки в д. Рязаново Калининского округа Тверской области</t>
  </si>
  <si>
    <t>12 3 01 S9045</t>
  </si>
  <si>
    <t>12 3 01 19046</t>
  </si>
  <si>
    <t>Реализация программ по поддержке местных инициатив в Тверской области. Благоустройство детской площадки в д. Рылово Калининского округа Тверской области</t>
  </si>
  <si>
    <t>12 3 01 S9046</t>
  </si>
  <si>
    <t>12 3 01 19047</t>
  </si>
  <si>
    <t>Реализация программ по поддержке местных инициатив в Тверской области. Благоустройство детской площадки в д. Кумордино Калининского округа Тверской области</t>
  </si>
  <si>
    <t>12 3 01 S9047</t>
  </si>
  <si>
    <t>12 3 01 19056</t>
  </si>
  <si>
    <t>Реализация программ по поддержке местных инициатив в Тверской области. Благоустройство спортивной зоны в д. Николо-Малица Калининского округа Тверской области</t>
  </si>
  <si>
    <t>12 3 01 S9056</t>
  </si>
  <si>
    <t>12 3 01 S9000</t>
  </si>
  <si>
    <t>13 0 00 00000</t>
  </si>
  <si>
    <t>Муниципальная программа  «Противодействие идеологии терроризма и экстремизма на территории Калининского муниципального округа Тверской  области на 2024 – 2029 годы»</t>
  </si>
  <si>
    <t>13 1 00 00000</t>
  </si>
  <si>
    <t>Подпрограмма «Профилактика терроризма и экстремизма на территории Калининского муниципального округа»</t>
  </si>
  <si>
    <t>13 1 01 00000</t>
  </si>
  <si>
    <t>Комплексные меры по противодействию экстремизма и терроризма на территории Калининского муниципального округа</t>
  </si>
  <si>
    <t>13 1 01 20020</t>
  </si>
  <si>
    <t>Изготовление и распространение банеров, печатной продукции, флаеров, стендов по разъяснению сущности терроризма и его общественной опасности на территории округа</t>
  </si>
  <si>
    <t>99 0 00 00000</t>
  </si>
  <si>
    <t xml:space="preserve">Расходы, не включенные в муниципальные программы </t>
  </si>
  <si>
    <t>99 2 00 00000</t>
  </si>
  <si>
    <t>Резервные фонды</t>
  </si>
  <si>
    <t>99 2 00 20000</t>
  </si>
  <si>
    <t xml:space="preserve">Резервный  фонд администрации Калининского муниципального округа  Тверской области </t>
  </si>
  <si>
    <t>870</t>
  </si>
  <si>
    <t>01 11</t>
  </si>
  <si>
    <t>Резервные средства</t>
  </si>
  <si>
    <t>99 3 00 00000</t>
  </si>
  <si>
    <t xml:space="preserve"> Реализация мероприятий по обращениям, поступающим к депутатам Законодательного Собрания Тверской области и депутатам Думы Калининского муниципального округа Тверской области</t>
  </si>
  <si>
    <t>99 3 00 S0920</t>
  </si>
  <si>
    <t>Средства на реализацию мероприятий по обращениям, поступающим к депутатам Законодательного Собрания Тверской области</t>
  </si>
  <si>
    <t>99 3 00 20200</t>
  </si>
  <si>
    <t>Расходы на реализацию мероприятий по обращениям, поступающим к депутатам Думы  Калининского муниципального округа  Тверской области</t>
  </si>
  <si>
    <t>604</t>
  </si>
  <si>
    <t>99 4 00 00000</t>
  </si>
  <si>
    <t>Мероприятия, не включенные в муниципальные программы</t>
  </si>
  <si>
    <t>99 4 00 20030</t>
  </si>
  <si>
    <t>Выплата пенсии за выслугу лет муниципальным служащим и лицам, замещавшим муниципальные должности</t>
  </si>
  <si>
    <t>310</t>
  </si>
  <si>
    <t>10 01</t>
  </si>
  <si>
    <t>Публичные нормативные социальные выплаты гражданам</t>
  </si>
  <si>
    <t>99 4 00 20040</t>
  </si>
  <si>
    <t>Мероприятия в области социальной политики (Социальные выплаты гражданам, награжденным почетным званием "Почетный гражданин Калининского округа" и иные выплаты)</t>
  </si>
  <si>
    <t>330</t>
  </si>
  <si>
    <t xml:space="preserve">601 </t>
  </si>
  <si>
    <t>Публичные нормативные выплаты гражданам несоциального характера</t>
  </si>
  <si>
    <t>99 4 00 20050</t>
  </si>
  <si>
    <t>Расходы на уплату взносов в Ассоциацию "Совет муниципальных образований Тверской области"</t>
  </si>
  <si>
    <t>99 4 00 20080</t>
  </si>
  <si>
    <t>Профессиональная подготовка, переподготовка и повышение квалификации (государственных) муниципальных служащих</t>
  </si>
  <si>
    <t>622</t>
  </si>
  <si>
    <t>99 4 00 20100</t>
  </si>
  <si>
    <t>Расходы на исполнение судебных актов по обращению взыскания на  средства  бюджета округа</t>
  </si>
  <si>
    <t>830</t>
  </si>
  <si>
    <t>Исполнение судебных актов</t>
  </si>
  <si>
    <t>99 4 00 20110</t>
  </si>
  <si>
    <t>Прочие выплаты по обязательствам Калининского муниципального округа Тверской области в части гашения кредиторской задолженности поселений</t>
  </si>
  <si>
    <t>99 4 00 20310</t>
  </si>
  <si>
    <t xml:space="preserve">Обеспечение деятельности муниципальных казенных учреждений </t>
  </si>
  <si>
    <t>99 4 00 20340</t>
  </si>
  <si>
    <t xml:space="preserve">Расходы на обеспечение деятельности МКУ "Единый центр хозяйственно- информационного обслуживания" </t>
  </si>
  <si>
    <t>99 4 00 20350</t>
  </si>
  <si>
    <t>Обеспечение деятельности МКУ "Организация бухгалтерского и планово-экономического обслуживания"</t>
  </si>
  <si>
    <t>99 8 00 00000</t>
  </si>
  <si>
    <t xml:space="preserve">Расходы на исполнение переданных государственных 
полномочий, не включенных в муниципальные программы
</t>
  </si>
  <si>
    <t>99 8 00 10510</t>
  </si>
  <si>
    <t xml:space="preserve">Расходы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
</t>
  </si>
  <si>
    <t>120</t>
  </si>
  <si>
    <t>Расходы на выплаты персоналу государственных (муниципальных) органов</t>
  </si>
  <si>
    <t>99 8 00 10540</t>
  </si>
  <si>
    <t xml:space="preserve">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
</t>
  </si>
  <si>
    <t>99 8 00 20540</t>
  </si>
  <si>
    <t>Расходы по содержанию лиц, уполномоченных составлять протоколы об административных правонарушениях за счет средств  бюджета округа</t>
  </si>
  <si>
    <t>99 8 00 20510</t>
  </si>
  <si>
    <t>Финансовое обеспечение  деятельности комиссий по делам несовершеннолетних за счет средств  бюджета округа</t>
  </si>
  <si>
    <t>99 8 00 51180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</si>
  <si>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</si>
  <si>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02 03</t>
  </si>
  <si>
    <t>99 8 00 51200</t>
  </si>
  <si>
    <t xml:space="preserve">Расходы на составление (изменение) списков кандидатов в присяжные заседатели федеральных судов общей юрисдикции в Российской Федерации
</t>
  </si>
  <si>
    <t>01 05</t>
  </si>
  <si>
    <t>99 9 00 00000</t>
  </si>
  <si>
    <t xml:space="preserve">Расходы на обеспечение деятельности органов местного самоуправления </t>
  </si>
  <si>
    <t>99 9 00 20100</t>
  </si>
  <si>
    <t>Глава муниципального образования</t>
  </si>
  <si>
    <t>01 02</t>
  </si>
  <si>
    <t>99 9 00 20200</t>
  </si>
  <si>
    <t xml:space="preserve">Расходы на обеспечение деятельности представительных органов местного самоуправления  </t>
  </si>
  <si>
    <t>01 03</t>
  </si>
  <si>
    <t>99 9 00 20300</t>
  </si>
  <si>
    <t>Расходы по центральному  аппарату  органов местного самоуправления</t>
  </si>
  <si>
    <t>01 04</t>
  </si>
  <si>
    <t>08 04</t>
  </si>
  <si>
    <t>99 9 00 20600</t>
  </si>
  <si>
    <t>Обеспечение деятельности финансовых органов и органов  (финансово-бюджетного) надзора</t>
  </si>
  <si>
    <t>01 06</t>
  </si>
  <si>
    <t>321</t>
  </si>
  <si>
    <t>Пособия, компенсации и иные социальные выплаты гражданам, кроме публичных нормативных обязательств</t>
  </si>
  <si>
    <t xml:space="preserve"> Выплата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</si>
  <si>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Строительство котельной для теплоснабжения н.п. Эммаусская школа - интернат Калининского муниципального округа с инженерными сетями к ней</t>
  </si>
  <si>
    <t>Реализация программ по поддержке местных инициатив в Тверской области. Благоустройство детской площадки в п. Эммаусс д.10 Калининского округа Тверской области</t>
  </si>
  <si>
    <t>Реализация программ по поддержке местных инициатив в Тверской области. Благоустройство детской площадки в д. Николо-Малица Калининского округа Тверской области</t>
  </si>
  <si>
    <t>12 3 01 19060</t>
  </si>
  <si>
    <t>12 3 01 S9060</t>
  </si>
  <si>
    <t>12 3 01 19061</t>
  </si>
  <si>
    <t>12 3 01 S9061</t>
  </si>
  <si>
    <t>Реализация программ по поддержке местных инициатив в Тверской области. Благоустройство детской площадки МОУ "Никольская НОШ" (детский сад) Калининского округа Тверской области</t>
  </si>
  <si>
    <t>01 2 02 19062</t>
  </si>
  <si>
    <t>01 2 02 S9062</t>
  </si>
  <si>
    <t xml:space="preserve"> Реализация программ по поддержке местных инициатив в Тверской области. Приобретение оборудования для проведения массовых мероприятий МКУ «Калининский культурно- досуговый центр» Калининского округа Тверской области</t>
  </si>
  <si>
    <t>Реализация программ по поддержке местных инициатив в Тверской области. Приобретение оборудования для проведения массовых мероприятий МКУ «Калининский культурно- досуговый центр» Калининского округа Тверской области</t>
  </si>
  <si>
    <t xml:space="preserve"> Реализация программ по поддержке местных инициатив в Тверской области. Ремонт хореографического класса МКУ "Заволжское ОКДЦ" Калининского округа Тверской области</t>
  </si>
  <si>
    <t>Реализация программ по поддержке местных инициатив в Тверской области. Ремонт хореографического класса МКУ "Заволжское ОКДЦ" Калининского округа Тверской области</t>
  </si>
  <si>
    <t xml:space="preserve"> Реализация программ по поддержке местных инициатив в Тверской области. Приобретение оборудования для проведения массовых мероприятий МКУ "Верхневолжкое ОКДЦ" Калининского округа Тверской области</t>
  </si>
  <si>
    <t>Реализация программ по поддержке местных инициатив в Тверской области. Приобретение оборудования для проведения массовых мероприятий МКУ "Верхневолжкое ОКДЦ" Калининского округа Тверской области</t>
  </si>
  <si>
    <t>05 1 01 19063</t>
  </si>
  <si>
    <t>05 1 01 S9063</t>
  </si>
  <si>
    <t>05 1 01 19064</t>
  </si>
  <si>
    <t>05 1 01 S9064</t>
  </si>
  <si>
    <t>05 1 01 19065</t>
  </si>
  <si>
    <t>05 1 01 S9065</t>
  </si>
  <si>
    <t>Создание условия для развития физической культуры и всестороннего участия граждан Калининского округа  в спортивной жизни</t>
  </si>
  <si>
    <t>01 2 07 18013</t>
  </si>
  <si>
    <t>Техническое перевооружение опасного производственного объекта «Система теплоснабжения п. Суховерково», 
рег. № А05-12035-0005, III класс опасности, в части замены котлов в котельной по адресу: Тверская область, 
р-н Калининский, пгт Суховерково, ул. Строителей, д. 3</t>
  </si>
  <si>
    <t>Подпрограмма "Оказание адресной социальной помощи отдельным категориям граждан, зарегистрированных по месту жительства на территории Калининского муниципального округа Тверской области"</t>
  </si>
  <si>
    <t>Предоставление адресной социальной помощи отдельным категориям граждан, оказавшимся в трудной жизненной ситуации</t>
  </si>
  <si>
    <t xml:space="preserve">Оказание материальной помощи отдельным категориям граждан, имеющих право на получение адресной социальной помощи
</t>
  </si>
  <si>
    <t>Обеспечение требований антитеррористической защищенности объектов, в том числе установка систем видеонаблюдения в местах массового пребывания людей, на воинских захоронениях, мемориалах и других памятных местах, приобретение металлических ограждений, иных защитных элементов антитеррористической направленности</t>
  </si>
  <si>
    <t>13 1 01 20030</t>
  </si>
  <si>
    <t xml:space="preserve">Подготовка проектов межевания земельных участков и проведение кадастровых работ </t>
  </si>
  <si>
    <t>Газоснабжение д. Носово Калининского муниципального  округа Тверской области</t>
  </si>
  <si>
    <t>Комплексные мероприятия в области энергосбережения и повышения энергетической эффективности в образовательных организациях, реализующих программы дошкольного образования</t>
  </si>
  <si>
    <t>01 1 03 00000</t>
  </si>
  <si>
    <t>01 1 03 20020</t>
  </si>
  <si>
    <t>05 3 01 S1390</t>
  </si>
  <si>
    <t>Осуществление единовременной выплаты к началу учебного года работникам муниципальных образовательных организаций</t>
  </si>
  <si>
    <t>Осуществление единовременной выплаты к началу учебного года работникам муниципальных образовательных организаций за счет средств бюджета округа</t>
  </si>
  <si>
    <t>01 1 01 11390</t>
  </si>
  <si>
    <t>01 1 01 S1390</t>
  </si>
  <si>
    <t>01 2 01 11390</t>
  </si>
  <si>
    <t>01 2 01 S1390</t>
  </si>
  <si>
    <t>01 3 01 11390</t>
  </si>
  <si>
    <t>01 3 01 S1390</t>
  </si>
  <si>
    <t>05 3 01 11390</t>
  </si>
  <si>
    <t>Приложение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 Калининского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 округа  Тверской области                                                                                                                                                                                                                                                           от "25" сентября 2025 г. №  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</si>
</sst>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\ ##0.00\ _₽_-;\-* #\ ##0.00\ _₽_-;_-* &quot;-&quot;??\ _₽_-;_-@_-"/>
    <numFmt numFmtId="165" formatCode="_-* #\ ##0.00&quot;р.&quot;_-;\-* #\ ##0.00&quot;р.&quot;_-;_-* &quot;-&quot;??&quot;р.&quot;_-;_-@_-"/>
    <numFmt numFmtId="166" formatCode="_-* #\ ##0_р_._-;\-* #\ ##0_р_._-;_-* &quot;-&quot;_р_._-;_-@_-"/>
    <numFmt numFmtId="167" formatCode="#\ ##0.00"/>
    <numFmt numFmtId="168" formatCode="#\ ##0_ "/>
    <numFmt numFmtId="169" formatCode="#.0\ ##0_ "/>
    <numFmt numFmtId="170" formatCode="#\ _ "/>
    <numFmt numFmtId="171" formatCode="#\ ##0.00_ "/>
    <numFmt numFmtId="172" formatCode="#\ ##0.0_ "/>
    <numFmt numFmtId="173" formatCode="0.000_ "/>
    <numFmt numFmtId="174" formatCode="0_ "/>
    <numFmt numFmtId="175" formatCode="#.\ 0_ "/>
    <numFmt numFmtId="176" formatCode="000000"/>
    <numFmt numFmtId="177" formatCode="#\ ##0"/>
  </numFmts>
  <fonts count="13" x14ac:knownFonts="1">
    <font>
      <sz val="10"/>
      <name val="Arial Cyr"/>
      <charset val="204"/>
    </font>
    <font>
      <b/>
      <sz val="10"/>
      <name val="Arial Cyr"/>
      <charset val="204"/>
    </font>
    <font>
      <sz val="11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6" fontId="12" fillId="0" borderId="0" applyFont="0" applyFill="0" applyBorder="0" applyAlignment="0" applyProtection="0"/>
    <xf numFmtId="1" fontId="10" fillId="0" borderId="3">
      <alignment horizontal="center" vertical="top" shrinkToFit="1"/>
    </xf>
    <xf numFmtId="167" fontId="11" fillId="2" borderId="3">
      <alignment horizontal="right" vertical="top" shrinkToFit="1"/>
    </xf>
    <xf numFmtId="0" fontId="9" fillId="0" borderId="0"/>
  </cellStyleXfs>
  <cellXfs count="101">
    <xf numFmtId="0" fontId="0" fillId="0" borderId="0" xfId="0"/>
    <xf numFmtId="168" fontId="0" fillId="0" borderId="0" xfId="0" applyNumberFormat="1" applyFont="1" applyFill="1"/>
    <xf numFmtId="0" fontId="0" fillId="0" borderId="0" xfId="0" applyFont="1" applyFill="1"/>
    <xf numFmtId="0" fontId="1" fillId="0" borderId="0" xfId="0" applyFont="1" applyFill="1"/>
    <xf numFmtId="0" fontId="0" fillId="0" borderId="0" xfId="0" applyFont="1" applyFill="1" applyAlignment="1">
      <alignment vertical="center"/>
    </xf>
    <xf numFmtId="0" fontId="2" fillId="0" borderId="0" xfId="0" applyFont="1" applyFill="1"/>
    <xf numFmtId="0" fontId="3" fillId="0" borderId="0" xfId="0" applyFont="1" applyFill="1"/>
    <xf numFmtId="170" fontId="8" fillId="0" borderId="1" xfId="0" applyNumberFormat="1" applyFont="1" applyFill="1" applyBorder="1" applyAlignment="1">
      <alignment horizontal="center" vertical="center"/>
    </xf>
    <xf numFmtId="169" fontId="7" fillId="0" borderId="1" xfId="0" applyNumberFormat="1" applyFont="1" applyFill="1" applyBorder="1" applyAlignment="1">
      <alignment vertical="center"/>
    </xf>
    <xf numFmtId="169" fontId="4" fillId="0" borderId="1" xfId="0" applyNumberFormat="1" applyFont="1" applyFill="1" applyBorder="1" applyAlignment="1">
      <alignment horizontal="center" vertical="center"/>
    </xf>
    <xf numFmtId="169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9" fontId="4" fillId="0" borderId="2" xfId="0" applyNumberFormat="1" applyFont="1" applyFill="1" applyBorder="1" applyAlignment="1">
      <alignment vertical="top" wrapText="1"/>
    </xf>
    <xf numFmtId="169" fontId="4" fillId="0" borderId="1" xfId="0" applyNumberFormat="1" applyFont="1" applyFill="1" applyBorder="1" applyAlignment="1">
      <alignment horizontal="center" vertical="center" wrapText="1"/>
    </xf>
    <xf numFmtId="169" fontId="4" fillId="0" borderId="1" xfId="0" applyNumberFormat="1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0" fillId="0" borderId="0" xfId="0" applyFont="1" applyFill="1" applyAlignment="1"/>
    <xf numFmtId="49" fontId="4" fillId="0" borderId="1" xfId="6" applyNumberFormat="1" applyFont="1" applyFill="1" applyBorder="1" applyAlignment="1">
      <alignment horizontal="center" vertical="center"/>
    </xf>
    <xf numFmtId="172" fontId="4" fillId="0" borderId="1" xfId="0" applyNumberFormat="1" applyFont="1" applyFill="1" applyBorder="1" applyAlignment="1">
      <alignment vertical="top" wrapText="1"/>
    </xf>
    <xf numFmtId="173" fontId="0" fillId="0" borderId="0" xfId="0" applyNumberFormat="1" applyFont="1" applyFill="1"/>
    <xf numFmtId="169" fontId="4" fillId="0" borderId="1" xfId="2" applyNumberFormat="1" applyFont="1" applyFill="1" applyBorder="1" applyAlignment="1">
      <alignment horizontal="center" vertical="center" wrapText="1"/>
    </xf>
    <xf numFmtId="174" fontId="4" fillId="0" borderId="1" xfId="0" applyNumberFormat="1" applyFont="1" applyFill="1" applyBorder="1" applyAlignment="1">
      <alignment horizontal="center" vertical="center"/>
    </xf>
    <xf numFmtId="16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vertical="top" wrapText="1"/>
    </xf>
    <xf numFmtId="169" fontId="4" fillId="0" borderId="1" xfId="3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top" wrapText="1"/>
    </xf>
    <xf numFmtId="175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vertical="top" wrapText="1"/>
    </xf>
    <xf numFmtId="172" fontId="4" fillId="0" borderId="2" xfId="0" applyNumberFormat="1" applyFont="1" applyFill="1" applyBorder="1" applyAlignment="1">
      <alignment vertical="top" wrapText="1"/>
    </xf>
    <xf numFmtId="169" fontId="4" fillId="0" borderId="1" xfId="0" applyNumberFormat="1" applyFont="1" applyFill="1" applyBorder="1" applyAlignment="1">
      <alignment vertical="center" wrapText="1"/>
    </xf>
    <xf numFmtId="172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vertical="center" wrapText="1"/>
    </xf>
    <xf numFmtId="169" fontId="4" fillId="0" borderId="2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169" fontId="0" fillId="0" borderId="1" xfId="0" applyNumberFormat="1" applyFont="1" applyFill="1" applyBorder="1" applyAlignment="1">
      <alignment horizontal="center" vertical="center"/>
    </xf>
    <xf numFmtId="49" fontId="4" fillId="0" borderId="1" xfId="2" applyNumberFormat="1" applyFont="1" applyFill="1" applyBorder="1" applyAlignment="1">
      <alignment horizontal="center" vertical="center" wrapText="1"/>
    </xf>
    <xf numFmtId="169" fontId="4" fillId="0" borderId="1" xfId="2" applyNumberFormat="1" applyFont="1" applyFill="1" applyBorder="1" applyAlignment="1">
      <alignment horizontal="center" vertical="top" wrapText="1"/>
    </xf>
    <xf numFmtId="172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vertical="center" wrapText="1"/>
    </xf>
    <xf numFmtId="0" fontId="4" fillId="0" borderId="6" xfId="0" applyNumberFormat="1" applyFont="1" applyFill="1" applyBorder="1" applyAlignment="1">
      <alignment vertical="center" wrapText="1"/>
    </xf>
    <xf numFmtId="0" fontId="4" fillId="0" borderId="0" xfId="0" applyFont="1" applyFill="1" applyAlignment="1">
      <alignment vertical="top" wrapText="1"/>
    </xf>
    <xf numFmtId="176" fontId="4" fillId="0" borderId="1" xfId="0" applyNumberFormat="1" applyFont="1" applyFill="1" applyBorder="1" applyAlignment="1">
      <alignment vertical="top" wrapText="1"/>
    </xf>
    <xf numFmtId="169" fontId="7" fillId="0" borderId="1" xfId="0" applyNumberFormat="1" applyFont="1" applyFill="1" applyBorder="1" applyAlignment="1">
      <alignment horizontal="center" vertical="top"/>
    </xf>
    <xf numFmtId="169" fontId="7" fillId="0" borderId="2" xfId="0" applyNumberFormat="1" applyFont="1" applyFill="1" applyBorder="1" applyAlignment="1">
      <alignment vertical="top" wrapText="1"/>
    </xf>
    <xf numFmtId="172" fontId="4" fillId="0" borderId="2" xfId="0" applyNumberFormat="1" applyFont="1" applyFill="1" applyBorder="1" applyAlignment="1">
      <alignment horizontal="left" vertical="top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/>
    <xf numFmtId="171" fontId="0" fillId="0" borderId="0" xfId="0" applyNumberFormat="1" applyFont="1" applyFill="1"/>
    <xf numFmtId="49" fontId="4" fillId="0" borderId="0" xfId="0" applyNumberFormat="1" applyFont="1" applyFill="1" applyBorder="1" applyAlignment="1">
      <alignment horizontal="left" vertical="top"/>
    </xf>
    <xf numFmtId="0" fontId="3" fillId="0" borderId="0" xfId="0" applyFont="1" applyFill="1" applyBorder="1"/>
    <xf numFmtId="0" fontId="4" fillId="0" borderId="1" xfId="0" applyFont="1" applyFill="1" applyBorder="1" applyAlignment="1">
      <alignment horizontal="left" vertical="top" wrapText="1"/>
    </xf>
    <xf numFmtId="169" fontId="4" fillId="0" borderId="8" xfId="0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5" applyNumberFormat="1" applyFont="1" applyFill="1" applyBorder="1" applyAlignment="1" applyProtection="1">
      <alignment horizontal="center" vertical="center" shrinkToFit="1"/>
    </xf>
    <xf numFmtId="4" fontId="7" fillId="0" borderId="1" xfId="0" applyNumberFormat="1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top"/>
    </xf>
    <xf numFmtId="4" fontId="4" fillId="0" borderId="7" xfId="5" applyNumberFormat="1" applyFont="1" applyFill="1" applyBorder="1" applyAlignment="1" applyProtection="1">
      <alignment horizontal="center" vertical="center" shrinkToFit="1"/>
    </xf>
    <xf numFmtId="4" fontId="4" fillId="0" borderId="8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NumberFormat="1" applyFont="1" applyFill="1" applyBorder="1" applyAlignment="1">
      <alignment horizontal="left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vertical="top" wrapText="1"/>
    </xf>
    <xf numFmtId="4" fontId="4" fillId="0" borderId="8" xfId="1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top" wrapText="1"/>
    </xf>
    <xf numFmtId="4" fontId="4" fillId="0" borderId="8" xfId="1" applyNumberFormat="1" applyFont="1" applyFill="1" applyBorder="1" applyAlignment="1" applyProtection="1">
      <alignment horizontal="center" vertical="center" shrinkToFit="1"/>
    </xf>
    <xf numFmtId="4" fontId="4" fillId="0" borderId="8" xfId="5" applyNumberFormat="1" applyFont="1" applyFill="1" applyBorder="1" applyAlignment="1" applyProtection="1">
      <alignment horizontal="center" vertical="center" shrinkToFit="1"/>
    </xf>
    <xf numFmtId="172" fontId="4" fillId="0" borderId="8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49" fontId="4" fillId="0" borderId="8" xfId="0" applyNumberFormat="1" applyFont="1" applyFill="1" applyBorder="1" applyAlignment="1">
      <alignment horizontal="center" vertical="top"/>
    </xf>
    <xf numFmtId="176" fontId="4" fillId="0" borderId="8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/>
    </xf>
  </cellXfs>
  <cellStyles count="7">
    <cellStyle name="xl32 2" xfId="4"/>
    <cellStyle name="xl36" xfId="5"/>
    <cellStyle name="Денежный" xfId="2" builtinId="4"/>
    <cellStyle name="Обычный" xfId="0" builtinId="0"/>
    <cellStyle name="Обычный 2" xfId="6"/>
    <cellStyle name="Финансовый" xfId="1" builtinId="3"/>
    <cellStyle name="Финансовый [0]" xfId="3" builtinId="6"/>
  </cellStyles>
  <dxfs count="0"/>
  <tableStyles count="0" defaultTableStyle="TableStyleMedium9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42"/>
  <sheetViews>
    <sheetView tabSelected="1" view="pageBreakPreview" workbookViewId="0">
      <selection activeCell="J3" sqref="J3"/>
    </sheetView>
  </sheetViews>
  <sheetFormatPr defaultColWidth="9.28515625" defaultRowHeight="15" x14ac:dyDescent="0.2"/>
  <cols>
    <col min="1" max="1" width="19.7109375" style="5" customWidth="1"/>
    <col min="2" max="2" width="8.42578125" style="5" customWidth="1"/>
    <col min="3" max="3" width="8.28515625" style="5" customWidth="1"/>
    <col min="4" max="4" width="8.85546875" style="5" customWidth="1"/>
    <col min="5" max="5" width="73.140625" style="6" customWidth="1"/>
    <col min="6" max="6" width="18.7109375" style="2" customWidth="1"/>
    <col min="7" max="7" width="15.7109375" style="2" customWidth="1"/>
    <col min="8" max="8" width="17" style="2" customWidth="1"/>
    <col min="9" max="9" width="9.140625" style="2"/>
    <col min="10" max="10" width="10.85546875" style="2"/>
    <col min="11" max="11" width="11.7109375" style="2"/>
    <col min="12" max="254" width="9.140625" style="2"/>
    <col min="255" max="16384" width="9.28515625" style="2"/>
  </cols>
  <sheetData>
    <row r="1" spans="1:9" ht="66" customHeight="1" x14ac:dyDescent="0.2">
      <c r="E1" s="95" t="s">
        <v>872</v>
      </c>
      <c r="F1" s="96"/>
      <c r="G1" s="96"/>
      <c r="H1" s="96"/>
    </row>
    <row r="2" spans="1:9" ht="83.1" customHeight="1" x14ac:dyDescent="0.2">
      <c r="F2" s="97" t="s">
        <v>0</v>
      </c>
      <c r="G2" s="97"/>
      <c r="H2" s="97"/>
    </row>
    <row r="3" spans="1:9" ht="102" customHeight="1" x14ac:dyDescent="0.2">
      <c r="A3" s="98" t="s">
        <v>1</v>
      </c>
      <c r="B3" s="98"/>
      <c r="C3" s="98"/>
      <c r="D3" s="98"/>
      <c r="E3" s="98"/>
      <c r="F3" s="98"/>
      <c r="G3" s="98"/>
      <c r="H3" s="98"/>
    </row>
    <row r="4" spans="1:9" ht="20.25" customHeight="1" x14ac:dyDescent="0.2">
      <c r="A4" s="100" t="s">
        <v>2</v>
      </c>
      <c r="B4" s="100" t="s">
        <v>3</v>
      </c>
      <c r="C4" s="100" t="s">
        <v>4</v>
      </c>
      <c r="D4" s="100" t="s">
        <v>5</v>
      </c>
      <c r="E4" s="100" t="s">
        <v>6</v>
      </c>
      <c r="F4" s="99" t="s">
        <v>7</v>
      </c>
      <c r="G4" s="99"/>
      <c r="H4" s="99"/>
    </row>
    <row r="5" spans="1:9" ht="29.25" customHeight="1" x14ac:dyDescent="0.2">
      <c r="A5" s="100"/>
      <c r="B5" s="100"/>
      <c r="C5" s="100"/>
      <c r="D5" s="100"/>
      <c r="E5" s="100"/>
      <c r="F5" s="82" t="s">
        <v>8</v>
      </c>
      <c r="G5" s="82" t="s">
        <v>9</v>
      </c>
      <c r="H5" s="82" t="s">
        <v>10</v>
      </c>
      <c r="I5" s="23"/>
    </row>
    <row r="6" spans="1:9" s="1" customFormat="1" x14ac:dyDescent="0.2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spans="1:9" ht="27" customHeight="1" x14ac:dyDescent="0.2">
      <c r="A7" s="8"/>
      <c r="B7" s="8"/>
      <c r="C7" s="8"/>
      <c r="D7" s="8"/>
      <c r="E7" s="8" t="s">
        <v>11</v>
      </c>
      <c r="F7" s="65">
        <f>F8+F315+F357+F491+F559+F706+F717+F733+F772+F778+F800+F909+F918+F806</f>
        <v>3907017.89322</v>
      </c>
      <c r="G7" s="65">
        <f>G8+G315+G357+G491+G559+G706+G717+G733+G772+G778+G800+G909+G918+G806</f>
        <v>3154326.4</v>
      </c>
      <c r="H7" s="65">
        <f>H8+H315+H357+H491+H559+H706+H717+H733+H772+H778+H800+H909+H918+H806</f>
        <v>3150308.5999999996</v>
      </c>
    </row>
    <row r="8" spans="1:9" ht="54" customHeight="1" x14ac:dyDescent="0.2">
      <c r="A8" s="9" t="s">
        <v>12</v>
      </c>
      <c r="B8" s="9" t="s">
        <v>13</v>
      </c>
      <c r="C8" s="9"/>
      <c r="D8" s="9"/>
      <c r="E8" s="10" t="s">
        <v>14</v>
      </c>
      <c r="F8" s="66">
        <f>F9+F83+F263+F290+F303+F308</f>
        <v>1689363.0569399996</v>
      </c>
      <c r="G8" s="66">
        <f>G9+G83+G263+G290+G303+G308</f>
        <v>1753050.28</v>
      </c>
      <c r="H8" s="66">
        <f>H9+H83+H263+H290+H303+H308</f>
        <v>1747822.2800000003</v>
      </c>
    </row>
    <row r="9" spans="1:9" ht="21.75" customHeight="1" x14ac:dyDescent="0.2">
      <c r="A9" s="9" t="s">
        <v>15</v>
      </c>
      <c r="B9" s="9" t="s">
        <v>13</v>
      </c>
      <c r="C9" s="9"/>
      <c r="D9" s="9"/>
      <c r="E9" s="10" t="s">
        <v>16</v>
      </c>
      <c r="F9" s="66">
        <f>F10+F32+F72+F76</f>
        <v>360582.83828999999</v>
      </c>
      <c r="G9" s="66">
        <f>G10+G32+G72+G76</f>
        <v>359646.77999999997</v>
      </c>
      <c r="H9" s="66">
        <f>H10+H32+H72+H76</f>
        <v>357432.19999999995</v>
      </c>
    </row>
    <row r="10" spans="1:9" ht="51.95" customHeight="1" x14ac:dyDescent="0.2">
      <c r="A10" s="9" t="s">
        <v>17</v>
      </c>
      <c r="B10" s="9" t="s">
        <v>13</v>
      </c>
      <c r="C10" s="9"/>
      <c r="D10" s="9"/>
      <c r="E10" s="10" t="s">
        <v>18</v>
      </c>
      <c r="F10" s="66">
        <f>F11+F14+F17+F20+F23+F26+F29</f>
        <v>321844.5</v>
      </c>
      <c r="G10" s="66">
        <f t="shared" ref="G10:H10" si="0">G11+G14+G17+G20+G23+G26+G29</f>
        <v>335477.69999999995</v>
      </c>
      <c r="H10" s="66">
        <f t="shared" si="0"/>
        <v>336324.89999999997</v>
      </c>
    </row>
    <row r="11" spans="1:9" ht="99.75" customHeight="1" x14ac:dyDescent="0.2">
      <c r="A11" s="9" t="s">
        <v>19</v>
      </c>
      <c r="B11" s="9" t="s">
        <v>13</v>
      </c>
      <c r="C11" s="9"/>
      <c r="D11" s="9"/>
      <c r="E11" s="11" t="s">
        <v>20</v>
      </c>
      <c r="F11" s="66">
        <f>F13</f>
        <v>8366.1999999999989</v>
      </c>
      <c r="G11" s="66">
        <f>G13</f>
        <v>19285.099999999999</v>
      </c>
      <c r="H11" s="66">
        <f>H13</f>
        <v>19285.099999999999</v>
      </c>
    </row>
    <row r="12" spans="1:9" ht="36.950000000000003" customHeight="1" x14ac:dyDescent="0.2">
      <c r="A12" s="9" t="s">
        <v>19</v>
      </c>
      <c r="B12" s="9" t="s">
        <v>21</v>
      </c>
      <c r="C12" s="9"/>
      <c r="D12" s="9"/>
      <c r="E12" s="12" t="s">
        <v>22</v>
      </c>
      <c r="F12" s="66">
        <f>F13</f>
        <v>8366.1999999999989</v>
      </c>
      <c r="G12" s="66">
        <f>G13</f>
        <v>19285.099999999999</v>
      </c>
      <c r="H12" s="66">
        <f>H13</f>
        <v>19285.099999999999</v>
      </c>
    </row>
    <row r="13" spans="1:9" ht="26.1" customHeight="1" x14ac:dyDescent="0.2">
      <c r="A13" s="9" t="s">
        <v>19</v>
      </c>
      <c r="B13" s="9" t="s">
        <v>23</v>
      </c>
      <c r="C13" s="9" t="s">
        <v>24</v>
      </c>
      <c r="D13" s="9" t="s">
        <v>25</v>
      </c>
      <c r="E13" s="12" t="s">
        <v>26</v>
      </c>
      <c r="F13" s="77">
        <f>19285.1-10918.9</f>
        <v>8366.1999999999989</v>
      </c>
      <c r="G13" s="66">
        <v>19285.099999999999</v>
      </c>
      <c r="H13" s="66">
        <v>19285.099999999999</v>
      </c>
    </row>
    <row r="14" spans="1:9" ht="50.25" customHeight="1" x14ac:dyDescent="0.2">
      <c r="A14" s="13" t="s">
        <v>27</v>
      </c>
      <c r="B14" s="9" t="s">
        <v>13</v>
      </c>
      <c r="C14" s="9"/>
      <c r="D14" s="9"/>
      <c r="E14" s="10" t="s">
        <v>28</v>
      </c>
      <c r="F14" s="66">
        <f t="shared" ref="F14:H15" si="1">F15</f>
        <v>157717.79999999999</v>
      </c>
      <c r="G14" s="66">
        <f t="shared" si="1"/>
        <v>157991.4</v>
      </c>
      <c r="H14" s="66">
        <f t="shared" si="1"/>
        <v>158838.59999999998</v>
      </c>
    </row>
    <row r="15" spans="1:9" ht="36.75" customHeight="1" x14ac:dyDescent="0.2">
      <c r="A15" s="13" t="s">
        <v>27</v>
      </c>
      <c r="B15" s="9" t="s">
        <v>21</v>
      </c>
      <c r="C15" s="9"/>
      <c r="D15" s="9"/>
      <c r="E15" s="12" t="s">
        <v>22</v>
      </c>
      <c r="F15" s="66">
        <f t="shared" si="1"/>
        <v>157717.79999999999</v>
      </c>
      <c r="G15" s="66">
        <f t="shared" si="1"/>
        <v>157991.4</v>
      </c>
      <c r="H15" s="66">
        <f t="shared" si="1"/>
        <v>158838.59999999998</v>
      </c>
    </row>
    <row r="16" spans="1:9" ht="22.5" customHeight="1" x14ac:dyDescent="0.2">
      <c r="A16" s="13" t="s">
        <v>27</v>
      </c>
      <c r="B16" s="9" t="s">
        <v>23</v>
      </c>
      <c r="C16" s="9" t="s">
        <v>24</v>
      </c>
      <c r="D16" s="9" t="s">
        <v>29</v>
      </c>
      <c r="E16" s="10" t="s">
        <v>26</v>
      </c>
      <c r="F16" s="77">
        <f>146769.5+10948.3</f>
        <v>157717.79999999999</v>
      </c>
      <c r="G16" s="77">
        <f>147350.1+10641.3</f>
        <v>157991.4</v>
      </c>
      <c r="H16" s="77">
        <f>148197.3+10641.3</f>
        <v>158838.59999999998</v>
      </c>
    </row>
    <row r="17" spans="1:8" ht="33.75" customHeight="1" x14ac:dyDescent="0.2">
      <c r="A17" s="84" t="s">
        <v>865</v>
      </c>
      <c r="B17" s="78" t="s">
        <v>13</v>
      </c>
      <c r="C17" s="64"/>
      <c r="D17" s="64"/>
      <c r="E17" s="85" t="s">
        <v>863</v>
      </c>
      <c r="F17" s="86">
        <f>F19</f>
        <v>1534.3</v>
      </c>
      <c r="G17" s="77">
        <f>G19</f>
        <v>0</v>
      </c>
      <c r="H17" s="77">
        <f>H19</f>
        <v>0</v>
      </c>
    </row>
    <row r="18" spans="1:8" ht="37.5" customHeight="1" x14ac:dyDescent="0.2">
      <c r="A18" s="84" t="s">
        <v>865</v>
      </c>
      <c r="B18" s="78" t="s">
        <v>21</v>
      </c>
      <c r="C18" s="64"/>
      <c r="D18" s="64"/>
      <c r="E18" s="85" t="s">
        <v>22</v>
      </c>
      <c r="F18" s="86">
        <f>F19</f>
        <v>1534.3</v>
      </c>
      <c r="G18" s="77">
        <f>G19</f>
        <v>0</v>
      </c>
      <c r="H18" s="77">
        <f>H19</f>
        <v>0</v>
      </c>
    </row>
    <row r="19" spans="1:8" ht="22.5" customHeight="1" x14ac:dyDescent="0.2">
      <c r="A19" s="84" t="s">
        <v>865</v>
      </c>
      <c r="B19" s="78" t="s">
        <v>23</v>
      </c>
      <c r="C19" s="9" t="s">
        <v>24</v>
      </c>
      <c r="D19" s="9" t="s">
        <v>29</v>
      </c>
      <c r="E19" s="87" t="s">
        <v>26</v>
      </c>
      <c r="F19" s="88">
        <v>1534.3</v>
      </c>
      <c r="G19" s="89">
        <v>0</v>
      </c>
      <c r="H19" s="89">
        <v>0</v>
      </c>
    </row>
    <row r="20" spans="1:8" ht="45.75" customHeight="1" x14ac:dyDescent="0.2">
      <c r="A20" s="84" t="s">
        <v>866</v>
      </c>
      <c r="B20" s="78" t="s">
        <v>13</v>
      </c>
      <c r="C20" s="64"/>
      <c r="D20" s="64"/>
      <c r="E20" s="85" t="s">
        <v>864</v>
      </c>
      <c r="F20" s="86">
        <f>F22</f>
        <v>15.4</v>
      </c>
      <c r="G20" s="77">
        <f>G22</f>
        <v>0</v>
      </c>
      <c r="H20" s="77">
        <f>H22</f>
        <v>0</v>
      </c>
    </row>
    <row r="21" spans="1:8" ht="34.5" customHeight="1" x14ac:dyDescent="0.2">
      <c r="A21" s="84" t="s">
        <v>866</v>
      </c>
      <c r="B21" s="78" t="s">
        <v>21</v>
      </c>
      <c r="C21" s="64"/>
      <c r="D21" s="64"/>
      <c r="E21" s="85" t="s">
        <v>22</v>
      </c>
      <c r="F21" s="86">
        <f>F22</f>
        <v>15.4</v>
      </c>
      <c r="G21" s="77">
        <f>G22</f>
        <v>0</v>
      </c>
      <c r="H21" s="77">
        <f>H22</f>
        <v>0</v>
      </c>
    </row>
    <row r="22" spans="1:8" ht="22.5" customHeight="1" x14ac:dyDescent="0.2">
      <c r="A22" s="84" t="s">
        <v>866</v>
      </c>
      <c r="B22" s="78" t="s">
        <v>23</v>
      </c>
      <c r="C22" s="9" t="s">
        <v>24</v>
      </c>
      <c r="D22" s="9" t="s">
        <v>29</v>
      </c>
      <c r="E22" s="87" t="s">
        <v>26</v>
      </c>
      <c r="F22" s="88">
        <v>15.4</v>
      </c>
      <c r="G22" s="89">
        <v>0</v>
      </c>
      <c r="H22" s="89">
        <v>0</v>
      </c>
    </row>
    <row r="23" spans="1:8" ht="33" customHeight="1" x14ac:dyDescent="0.2">
      <c r="A23" s="14" t="s">
        <v>30</v>
      </c>
      <c r="B23" s="14" t="s">
        <v>13</v>
      </c>
      <c r="C23" s="14"/>
      <c r="D23" s="14"/>
      <c r="E23" s="10" t="s">
        <v>31</v>
      </c>
      <c r="F23" s="66">
        <f>F25</f>
        <v>119463.20000000001</v>
      </c>
      <c r="G23" s="66">
        <f>G25</f>
        <v>121978.6</v>
      </c>
      <c r="H23" s="66">
        <f>H25</f>
        <v>121978.6</v>
      </c>
    </row>
    <row r="24" spans="1:8" ht="35.25" customHeight="1" x14ac:dyDescent="0.2">
      <c r="A24" s="9" t="s">
        <v>30</v>
      </c>
      <c r="B24" s="9" t="s">
        <v>21</v>
      </c>
      <c r="C24" s="9"/>
      <c r="D24" s="9"/>
      <c r="E24" s="12" t="s">
        <v>22</v>
      </c>
      <c r="F24" s="66">
        <f>F25</f>
        <v>119463.20000000001</v>
      </c>
      <c r="G24" s="66">
        <f>G25</f>
        <v>121978.6</v>
      </c>
      <c r="H24" s="66">
        <f>H25</f>
        <v>121978.6</v>
      </c>
    </row>
    <row r="25" spans="1:8" ht="24.75" customHeight="1" x14ac:dyDescent="0.2">
      <c r="A25" s="9" t="s">
        <v>30</v>
      </c>
      <c r="B25" s="9" t="s">
        <v>23</v>
      </c>
      <c r="C25" s="9" t="s">
        <v>24</v>
      </c>
      <c r="D25" s="9" t="s">
        <v>29</v>
      </c>
      <c r="E25" s="10" t="s">
        <v>26</v>
      </c>
      <c r="F25" s="77">
        <f>121978.6-2500-15.4</f>
        <v>119463.20000000001</v>
      </c>
      <c r="G25" s="66">
        <v>121978.6</v>
      </c>
      <c r="H25" s="66">
        <v>121978.6</v>
      </c>
    </row>
    <row r="26" spans="1:8" ht="36" customHeight="1" x14ac:dyDescent="0.2">
      <c r="A26" s="9" t="s">
        <v>32</v>
      </c>
      <c r="B26" s="9" t="s">
        <v>13</v>
      </c>
      <c r="C26" s="9"/>
      <c r="D26" s="9"/>
      <c r="E26" s="10" t="s">
        <v>33</v>
      </c>
      <c r="F26" s="66">
        <f>F28</f>
        <v>22457.599999999999</v>
      </c>
      <c r="G26" s="66">
        <f>G28</f>
        <v>22457.599999999999</v>
      </c>
      <c r="H26" s="66">
        <f>H28</f>
        <v>22457.599999999999</v>
      </c>
    </row>
    <row r="27" spans="1:8" ht="36" customHeight="1" x14ac:dyDescent="0.2">
      <c r="A27" s="9" t="s">
        <v>32</v>
      </c>
      <c r="B27" s="9" t="s">
        <v>21</v>
      </c>
      <c r="C27" s="9"/>
      <c r="D27" s="9"/>
      <c r="E27" s="12" t="s">
        <v>22</v>
      </c>
      <c r="F27" s="66">
        <f>F28</f>
        <v>22457.599999999999</v>
      </c>
      <c r="G27" s="66">
        <f>G28</f>
        <v>22457.599999999999</v>
      </c>
      <c r="H27" s="66">
        <f>H28</f>
        <v>22457.599999999999</v>
      </c>
    </row>
    <row r="28" spans="1:8" ht="21.75" customHeight="1" x14ac:dyDescent="0.2">
      <c r="A28" s="14" t="s">
        <v>32</v>
      </c>
      <c r="B28" s="14" t="s">
        <v>23</v>
      </c>
      <c r="C28" s="14" t="s">
        <v>24</v>
      </c>
      <c r="D28" s="14" t="s">
        <v>29</v>
      </c>
      <c r="E28" s="12" t="s">
        <v>26</v>
      </c>
      <c r="F28" s="66">
        <v>22457.599999999999</v>
      </c>
      <c r="G28" s="66">
        <v>22457.599999999999</v>
      </c>
      <c r="H28" s="66">
        <v>22457.599999999999</v>
      </c>
    </row>
    <row r="29" spans="1:8" ht="25.5" customHeight="1" x14ac:dyDescent="0.2">
      <c r="A29" s="14" t="s">
        <v>34</v>
      </c>
      <c r="B29" s="14" t="s">
        <v>13</v>
      </c>
      <c r="C29" s="14"/>
      <c r="D29" s="14"/>
      <c r="E29" s="45" t="s">
        <v>35</v>
      </c>
      <c r="F29" s="66">
        <f>F31</f>
        <v>12290</v>
      </c>
      <c r="G29" s="66">
        <f>G31</f>
        <v>13765</v>
      </c>
      <c r="H29" s="66">
        <f>H31</f>
        <v>13765</v>
      </c>
    </row>
    <row r="30" spans="1:8" ht="36.75" customHeight="1" x14ac:dyDescent="0.2">
      <c r="A30" s="9" t="s">
        <v>34</v>
      </c>
      <c r="B30" s="9" t="s">
        <v>21</v>
      </c>
      <c r="C30" s="9"/>
      <c r="D30" s="9"/>
      <c r="E30" s="12" t="s">
        <v>22</v>
      </c>
      <c r="F30" s="66">
        <f>F31</f>
        <v>12290</v>
      </c>
      <c r="G30" s="66">
        <f>G31</f>
        <v>13765</v>
      </c>
      <c r="H30" s="66">
        <f>H31</f>
        <v>13765</v>
      </c>
    </row>
    <row r="31" spans="1:8" ht="26.25" customHeight="1" x14ac:dyDescent="0.2">
      <c r="A31" s="9" t="s">
        <v>34</v>
      </c>
      <c r="B31" s="9" t="s">
        <v>23</v>
      </c>
      <c r="C31" s="9" t="s">
        <v>24</v>
      </c>
      <c r="D31" s="9" t="s">
        <v>29</v>
      </c>
      <c r="E31" s="12" t="s">
        <v>26</v>
      </c>
      <c r="F31" s="66">
        <f>13765-1475</f>
        <v>12290</v>
      </c>
      <c r="G31" s="66">
        <v>13765</v>
      </c>
      <c r="H31" s="66">
        <v>13765</v>
      </c>
    </row>
    <row r="32" spans="1:8" ht="51.95" customHeight="1" x14ac:dyDescent="0.2">
      <c r="A32" s="9" t="s">
        <v>36</v>
      </c>
      <c r="B32" s="9" t="s">
        <v>13</v>
      </c>
      <c r="C32" s="9"/>
      <c r="D32" s="9"/>
      <c r="E32" s="10" t="s">
        <v>37</v>
      </c>
      <c r="F32" s="66">
        <f>F33+F36+F39+F42+F45+F48+F51+F54+F57+F60+F63+F66+F69</f>
        <v>16196.854430000001</v>
      </c>
      <c r="G32" s="66">
        <f t="shared" ref="G32:H32" si="2">G33+G36+G39+G42+G45+G48+G51+G54+G57+G60+G63+G66+G69</f>
        <v>4923.380000000001</v>
      </c>
      <c r="H32" s="66">
        <f t="shared" si="2"/>
        <v>2861.6</v>
      </c>
    </row>
    <row r="33" spans="1:8" ht="39.75" customHeight="1" x14ac:dyDescent="0.2">
      <c r="A33" s="15" t="s">
        <v>38</v>
      </c>
      <c r="B33" s="15" t="s">
        <v>13</v>
      </c>
      <c r="C33" s="9"/>
      <c r="D33" s="9"/>
      <c r="E33" s="11" t="s">
        <v>39</v>
      </c>
      <c r="F33" s="67">
        <f>F35</f>
        <v>1485</v>
      </c>
      <c r="G33" s="66">
        <f>G35</f>
        <v>0</v>
      </c>
      <c r="H33" s="66">
        <f>H35</f>
        <v>0</v>
      </c>
    </row>
    <row r="34" spans="1:8" ht="36" customHeight="1" x14ac:dyDescent="0.2">
      <c r="A34" s="15" t="s">
        <v>38</v>
      </c>
      <c r="B34" s="15" t="s">
        <v>21</v>
      </c>
      <c r="C34" s="9"/>
      <c r="D34" s="9"/>
      <c r="E34" s="16" t="s">
        <v>22</v>
      </c>
      <c r="F34" s="67">
        <f>F35</f>
        <v>1485</v>
      </c>
      <c r="G34" s="66">
        <f>G35</f>
        <v>0</v>
      </c>
      <c r="H34" s="66">
        <f>H35</f>
        <v>0</v>
      </c>
    </row>
    <row r="35" spans="1:8" ht="18.75" customHeight="1" x14ac:dyDescent="0.2">
      <c r="A35" s="17" t="s">
        <v>38</v>
      </c>
      <c r="B35" s="17" t="s">
        <v>23</v>
      </c>
      <c r="C35" s="9" t="s">
        <v>24</v>
      </c>
      <c r="D35" s="9" t="s">
        <v>29</v>
      </c>
      <c r="E35" s="11" t="s">
        <v>26</v>
      </c>
      <c r="F35" s="67">
        <v>1485</v>
      </c>
      <c r="G35" s="67">
        <v>0</v>
      </c>
      <c r="H35" s="67">
        <v>0</v>
      </c>
    </row>
    <row r="36" spans="1:8" ht="51.95" customHeight="1" x14ac:dyDescent="0.2">
      <c r="A36" s="15" t="s">
        <v>40</v>
      </c>
      <c r="B36" s="15" t="s">
        <v>13</v>
      </c>
      <c r="C36" s="9"/>
      <c r="D36" s="9"/>
      <c r="E36" s="18" t="s">
        <v>41</v>
      </c>
      <c r="F36" s="67">
        <f>F37</f>
        <v>15</v>
      </c>
      <c r="G36" s="66">
        <f>G38</f>
        <v>15</v>
      </c>
      <c r="H36" s="66">
        <f>H38</f>
        <v>0</v>
      </c>
    </row>
    <row r="37" spans="1:8" ht="35.1" customHeight="1" x14ac:dyDescent="0.2">
      <c r="A37" s="15" t="s">
        <v>40</v>
      </c>
      <c r="B37" s="15" t="s">
        <v>21</v>
      </c>
      <c r="C37" s="9"/>
      <c r="D37" s="9"/>
      <c r="E37" s="16" t="s">
        <v>22</v>
      </c>
      <c r="F37" s="67">
        <f>F38</f>
        <v>15</v>
      </c>
      <c r="G37" s="66">
        <f>G38</f>
        <v>15</v>
      </c>
      <c r="H37" s="66">
        <f>H38</f>
        <v>0</v>
      </c>
    </row>
    <row r="38" spans="1:8" ht="30.95" customHeight="1" x14ac:dyDescent="0.2">
      <c r="A38" s="15" t="s">
        <v>40</v>
      </c>
      <c r="B38" s="15" t="s">
        <v>23</v>
      </c>
      <c r="C38" s="9" t="s">
        <v>24</v>
      </c>
      <c r="D38" s="9" t="s">
        <v>29</v>
      </c>
      <c r="E38" s="18" t="s">
        <v>26</v>
      </c>
      <c r="F38" s="67">
        <v>15</v>
      </c>
      <c r="G38" s="66">
        <v>15</v>
      </c>
      <c r="H38" s="66">
        <f>1052-1052</f>
        <v>0</v>
      </c>
    </row>
    <row r="39" spans="1:8" ht="66" customHeight="1" x14ac:dyDescent="0.2">
      <c r="A39" s="15" t="s">
        <v>42</v>
      </c>
      <c r="B39" s="15" t="s">
        <v>13</v>
      </c>
      <c r="C39" s="9"/>
      <c r="D39" s="9"/>
      <c r="E39" s="19" t="s">
        <v>43</v>
      </c>
      <c r="F39" s="66">
        <f t="shared" ref="F39:H40" si="3">F40</f>
        <v>2080.3743899999999</v>
      </c>
      <c r="G39" s="66">
        <f t="shared" si="3"/>
        <v>0</v>
      </c>
      <c r="H39" s="66">
        <f t="shared" si="3"/>
        <v>0</v>
      </c>
    </row>
    <row r="40" spans="1:8" ht="41.1" customHeight="1" x14ac:dyDescent="0.2">
      <c r="A40" s="15" t="s">
        <v>42</v>
      </c>
      <c r="B40" s="15" t="s">
        <v>21</v>
      </c>
      <c r="C40" s="9"/>
      <c r="D40" s="9"/>
      <c r="E40" s="20" t="s">
        <v>22</v>
      </c>
      <c r="F40" s="66">
        <f t="shared" si="3"/>
        <v>2080.3743899999999</v>
      </c>
      <c r="G40" s="66">
        <f t="shared" si="3"/>
        <v>0</v>
      </c>
      <c r="H40" s="66">
        <f t="shared" si="3"/>
        <v>0</v>
      </c>
    </row>
    <row r="41" spans="1:8" ht="30.95" customHeight="1" x14ac:dyDescent="0.2">
      <c r="A41" s="15" t="s">
        <v>42</v>
      </c>
      <c r="B41" s="15" t="s">
        <v>23</v>
      </c>
      <c r="C41" s="9" t="s">
        <v>24</v>
      </c>
      <c r="D41" s="9" t="s">
        <v>29</v>
      </c>
      <c r="E41" s="19" t="s">
        <v>26</v>
      </c>
      <c r="F41" s="77">
        <f>2121.15-40.77561</f>
        <v>2080.3743899999999</v>
      </c>
      <c r="G41" s="66">
        <v>0</v>
      </c>
      <c r="H41" s="66">
        <v>0</v>
      </c>
    </row>
    <row r="42" spans="1:8" ht="66.95" customHeight="1" x14ac:dyDescent="0.2">
      <c r="A42" s="15" t="s">
        <v>44</v>
      </c>
      <c r="B42" s="15" t="s">
        <v>13</v>
      </c>
      <c r="C42" s="9"/>
      <c r="D42" s="9"/>
      <c r="E42" s="19" t="s">
        <v>43</v>
      </c>
      <c r="F42" s="66">
        <f t="shared" ref="F42:H43" si="4">F43</f>
        <v>492.31065999999998</v>
      </c>
      <c r="G42" s="66">
        <f t="shared" si="4"/>
        <v>0</v>
      </c>
      <c r="H42" s="66">
        <f t="shared" si="4"/>
        <v>0</v>
      </c>
    </row>
    <row r="43" spans="1:8" ht="39" customHeight="1" x14ac:dyDescent="0.2">
      <c r="A43" s="15" t="s">
        <v>44</v>
      </c>
      <c r="B43" s="15" t="s">
        <v>21</v>
      </c>
      <c r="C43" s="9"/>
      <c r="D43" s="9"/>
      <c r="E43" s="20" t="s">
        <v>22</v>
      </c>
      <c r="F43" s="66">
        <f t="shared" si="4"/>
        <v>492.31065999999998</v>
      </c>
      <c r="G43" s="66">
        <f t="shared" si="4"/>
        <v>0</v>
      </c>
      <c r="H43" s="66">
        <f t="shared" si="4"/>
        <v>0</v>
      </c>
    </row>
    <row r="44" spans="1:8" ht="24.95" customHeight="1" x14ac:dyDescent="0.2">
      <c r="A44" s="15" t="s">
        <v>44</v>
      </c>
      <c r="B44" s="15" t="s">
        <v>23</v>
      </c>
      <c r="C44" s="9" t="s">
        <v>24</v>
      </c>
      <c r="D44" s="9" t="s">
        <v>29</v>
      </c>
      <c r="E44" s="19" t="s">
        <v>26</v>
      </c>
      <c r="F44" s="77">
        <f>500-7.68934</f>
        <v>492.31065999999998</v>
      </c>
      <c r="G44" s="66">
        <v>0</v>
      </c>
      <c r="H44" s="66">
        <v>0</v>
      </c>
    </row>
    <row r="45" spans="1:8" ht="66.95" customHeight="1" x14ac:dyDescent="0.2">
      <c r="A45" s="15" t="s">
        <v>45</v>
      </c>
      <c r="B45" s="15" t="s">
        <v>13</v>
      </c>
      <c r="C45" s="9"/>
      <c r="D45" s="9"/>
      <c r="E45" s="19" t="s">
        <v>46</v>
      </c>
      <c r="F45" s="66">
        <f t="shared" ref="F45:H46" si="5">F46</f>
        <v>343.77530000000002</v>
      </c>
      <c r="G45" s="66">
        <f t="shared" si="5"/>
        <v>0</v>
      </c>
      <c r="H45" s="66">
        <f t="shared" si="5"/>
        <v>0</v>
      </c>
    </row>
    <row r="46" spans="1:8" ht="39" customHeight="1" x14ac:dyDescent="0.2">
      <c r="A46" s="15" t="s">
        <v>45</v>
      </c>
      <c r="B46" s="15" t="s">
        <v>21</v>
      </c>
      <c r="C46" s="9"/>
      <c r="D46" s="9"/>
      <c r="E46" s="20" t="s">
        <v>22</v>
      </c>
      <c r="F46" s="66">
        <f t="shared" si="5"/>
        <v>343.77530000000002</v>
      </c>
      <c r="G46" s="66">
        <f t="shared" si="5"/>
        <v>0</v>
      </c>
      <c r="H46" s="66">
        <f t="shared" si="5"/>
        <v>0</v>
      </c>
    </row>
    <row r="47" spans="1:8" ht="21.95" customHeight="1" x14ac:dyDescent="0.2">
      <c r="A47" s="15" t="s">
        <v>45</v>
      </c>
      <c r="B47" s="15" t="s">
        <v>23</v>
      </c>
      <c r="C47" s="9" t="s">
        <v>24</v>
      </c>
      <c r="D47" s="9" t="s">
        <v>29</v>
      </c>
      <c r="E47" s="19" t="s">
        <v>26</v>
      </c>
      <c r="F47" s="77">
        <f>559.88-216.1047</f>
        <v>343.77530000000002</v>
      </c>
      <c r="G47" s="66">
        <v>0</v>
      </c>
      <c r="H47" s="66">
        <v>0</v>
      </c>
    </row>
    <row r="48" spans="1:8" ht="66" customHeight="1" x14ac:dyDescent="0.2">
      <c r="A48" s="15" t="s">
        <v>47</v>
      </c>
      <c r="B48" s="15" t="s">
        <v>13</v>
      </c>
      <c r="C48" s="9"/>
      <c r="D48" s="9"/>
      <c r="E48" s="19" t="s">
        <v>46</v>
      </c>
      <c r="F48" s="66">
        <f t="shared" ref="F48:H49" si="6">F49</f>
        <v>98.5</v>
      </c>
      <c r="G48" s="66">
        <f t="shared" si="6"/>
        <v>0</v>
      </c>
      <c r="H48" s="66">
        <f t="shared" si="6"/>
        <v>0</v>
      </c>
    </row>
    <row r="49" spans="1:8" ht="39.950000000000003" customHeight="1" x14ac:dyDescent="0.2">
      <c r="A49" s="15" t="s">
        <v>47</v>
      </c>
      <c r="B49" s="15" t="s">
        <v>21</v>
      </c>
      <c r="C49" s="9"/>
      <c r="D49" s="9"/>
      <c r="E49" s="20" t="s">
        <v>22</v>
      </c>
      <c r="F49" s="66">
        <f t="shared" si="6"/>
        <v>98.5</v>
      </c>
      <c r="G49" s="66">
        <f t="shared" si="6"/>
        <v>0</v>
      </c>
      <c r="H49" s="66">
        <f t="shared" si="6"/>
        <v>0</v>
      </c>
    </row>
    <row r="50" spans="1:8" ht="27.95" customHeight="1" x14ac:dyDescent="0.2">
      <c r="A50" s="15" t="s">
        <v>47</v>
      </c>
      <c r="B50" s="15" t="s">
        <v>23</v>
      </c>
      <c r="C50" s="9" t="s">
        <v>24</v>
      </c>
      <c r="D50" s="9" t="s">
        <v>29</v>
      </c>
      <c r="E50" s="19" t="s">
        <v>26</v>
      </c>
      <c r="F50" s="77">
        <f>113.5-15</f>
        <v>98.5</v>
      </c>
      <c r="G50" s="66">
        <v>0</v>
      </c>
      <c r="H50" s="66">
        <v>0</v>
      </c>
    </row>
    <row r="51" spans="1:8" ht="66.95" customHeight="1" x14ac:dyDescent="0.2">
      <c r="A51" s="15" t="s">
        <v>48</v>
      </c>
      <c r="B51" s="15" t="s">
        <v>13</v>
      </c>
      <c r="C51" s="9"/>
      <c r="D51" s="9"/>
      <c r="E51" s="19" t="s">
        <v>49</v>
      </c>
      <c r="F51" s="66">
        <f t="shared" ref="F51:H52" si="7">F52</f>
        <v>508.81103999999999</v>
      </c>
      <c r="G51" s="66">
        <f t="shared" si="7"/>
        <v>0</v>
      </c>
      <c r="H51" s="66">
        <f t="shared" si="7"/>
        <v>0</v>
      </c>
    </row>
    <row r="52" spans="1:8" ht="39" customHeight="1" x14ac:dyDescent="0.2">
      <c r="A52" s="15" t="s">
        <v>48</v>
      </c>
      <c r="B52" s="15" t="s">
        <v>21</v>
      </c>
      <c r="C52" s="9"/>
      <c r="D52" s="9"/>
      <c r="E52" s="20" t="s">
        <v>22</v>
      </c>
      <c r="F52" s="66">
        <f t="shared" si="7"/>
        <v>508.81103999999999</v>
      </c>
      <c r="G52" s="66">
        <f t="shared" si="7"/>
        <v>0</v>
      </c>
      <c r="H52" s="66">
        <f t="shared" si="7"/>
        <v>0</v>
      </c>
    </row>
    <row r="53" spans="1:8" ht="33.950000000000003" customHeight="1" x14ac:dyDescent="0.2">
      <c r="A53" s="15" t="s">
        <v>48</v>
      </c>
      <c r="B53" s="15" t="s">
        <v>23</v>
      </c>
      <c r="C53" s="9" t="s">
        <v>24</v>
      </c>
      <c r="D53" s="9" t="s">
        <v>29</v>
      </c>
      <c r="E53" s="19" t="s">
        <v>26</v>
      </c>
      <c r="F53" s="77">
        <f>559.02-50.20896</f>
        <v>508.81103999999999</v>
      </c>
      <c r="G53" s="66">
        <v>0</v>
      </c>
      <c r="H53" s="66">
        <v>0</v>
      </c>
    </row>
    <row r="54" spans="1:8" ht="65.099999999999994" customHeight="1" x14ac:dyDescent="0.2">
      <c r="A54" s="15" t="s">
        <v>50</v>
      </c>
      <c r="B54" s="15" t="s">
        <v>13</v>
      </c>
      <c r="C54" s="9"/>
      <c r="D54" s="9"/>
      <c r="E54" s="19" t="s">
        <v>49</v>
      </c>
      <c r="F54" s="66">
        <f t="shared" ref="F54:H55" si="8">F55</f>
        <v>109.45828</v>
      </c>
      <c r="G54" s="66">
        <f t="shared" si="8"/>
        <v>0</v>
      </c>
      <c r="H54" s="66">
        <f t="shared" si="8"/>
        <v>0</v>
      </c>
    </row>
    <row r="55" spans="1:8" ht="35.1" customHeight="1" x14ac:dyDescent="0.2">
      <c r="A55" s="15" t="s">
        <v>50</v>
      </c>
      <c r="B55" s="15" t="s">
        <v>21</v>
      </c>
      <c r="C55" s="9"/>
      <c r="D55" s="9"/>
      <c r="E55" s="20" t="s">
        <v>22</v>
      </c>
      <c r="F55" s="66">
        <f t="shared" si="8"/>
        <v>109.45828</v>
      </c>
      <c r="G55" s="66">
        <f t="shared" si="8"/>
        <v>0</v>
      </c>
      <c r="H55" s="66">
        <f t="shared" si="8"/>
        <v>0</v>
      </c>
    </row>
    <row r="56" spans="1:8" ht="33" customHeight="1" x14ac:dyDescent="0.2">
      <c r="A56" s="15" t="s">
        <v>50</v>
      </c>
      <c r="B56" s="15" t="s">
        <v>23</v>
      </c>
      <c r="C56" s="9" t="s">
        <v>24</v>
      </c>
      <c r="D56" s="9" t="s">
        <v>29</v>
      </c>
      <c r="E56" s="19" t="s">
        <v>26</v>
      </c>
      <c r="F56" s="77">
        <f>113.5-4.04172</f>
        <v>109.45828</v>
      </c>
      <c r="G56" s="66">
        <v>0</v>
      </c>
      <c r="H56" s="66">
        <v>0</v>
      </c>
    </row>
    <row r="57" spans="1:8" ht="66" customHeight="1" x14ac:dyDescent="0.2">
      <c r="A57" s="9" t="s">
        <v>51</v>
      </c>
      <c r="B57" s="9" t="s">
        <v>13</v>
      </c>
      <c r="C57" s="9"/>
      <c r="D57" s="9"/>
      <c r="E57" s="10" t="s">
        <v>52</v>
      </c>
      <c r="F57" s="66">
        <f t="shared" ref="F57:H58" si="9">F58</f>
        <v>9003.2639600000002</v>
      </c>
      <c r="G57" s="66">
        <f t="shared" si="9"/>
        <v>1291</v>
      </c>
      <c r="H57" s="66">
        <f t="shared" si="9"/>
        <v>0</v>
      </c>
    </row>
    <row r="58" spans="1:8" ht="36" customHeight="1" x14ac:dyDescent="0.2">
      <c r="A58" s="9" t="s">
        <v>51</v>
      </c>
      <c r="B58" s="9" t="s">
        <v>21</v>
      </c>
      <c r="C58" s="9"/>
      <c r="D58" s="9"/>
      <c r="E58" s="12" t="s">
        <v>22</v>
      </c>
      <c r="F58" s="66">
        <f t="shared" si="9"/>
        <v>9003.2639600000002</v>
      </c>
      <c r="G58" s="66">
        <f t="shared" si="9"/>
        <v>1291</v>
      </c>
      <c r="H58" s="66">
        <f t="shared" si="9"/>
        <v>0</v>
      </c>
    </row>
    <row r="59" spans="1:8" ht="22.5" customHeight="1" x14ac:dyDescent="0.2">
      <c r="A59" s="9" t="s">
        <v>51</v>
      </c>
      <c r="B59" s="9" t="s">
        <v>23</v>
      </c>
      <c r="C59" s="9" t="s">
        <v>24</v>
      </c>
      <c r="D59" s="9" t="s">
        <v>29</v>
      </c>
      <c r="E59" s="12" t="s">
        <v>26</v>
      </c>
      <c r="F59" s="77">
        <f>5406.1-15-56.64193+470.58977+3133.2591+64.95702</f>
        <v>9003.2639600000002</v>
      </c>
      <c r="G59" s="66">
        <f>5406.1-4115.1</f>
        <v>1291</v>
      </c>
      <c r="H59" s="66">
        <f>5406.1-5406.1</f>
        <v>0</v>
      </c>
    </row>
    <row r="60" spans="1:8" ht="54" customHeight="1" x14ac:dyDescent="0.2">
      <c r="A60" s="9" t="s">
        <v>53</v>
      </c>
      <c r="B60" s="9" t="s">
        <v>13</v>
      </c>
      <c r="C60" s="9"/>
      <c r="D60" s="9"/>
      <c r="E60" s="10" t="s">
        <v>54</v>
      </c>
      <c r="F60" s="66">
        <f>F62</f>
        <v>1662.3608000000004</v>
      </c>
      <c r="G60" s="66">
        <f>G62</f>
        <v>2846.6</v>
      </c>
      <c r="H60" s="66">
        <f>H62</f>
        <v>2861.6</v>
      </c>
    </row>
    <row r="61" spans="1:8" ht="39" customHeight="1" x14ac:dyDescent="0.2">
      <c r="A61" s="9" t="s">
        <v>53</v>
      </c>
      <c r="B61" s="9" t="s">
        <v>21</v>
      </c>
      <c r="C61" s="9"/>
      <c r="D61" s="9"/>
      <c r="E61" s="12" t="s">
        <v>22</v>
      </c>
      <c r="F61" s="66">
        <f>F62</f>
        <v>1662.3608000000004</v>
      </c>
      <c r="G61" s="66">
        <f>G62</f>
        <v>2846.6</v>
      </c>
      <c r="H61" s="66">
        <f>H62</f>
        <v>2861.6</v>
      </c>
    </row>
    <row r="62" spans="1:8" ht="24.75" customHeight="1" x14ac:dyDescent="0.2">
      <c r="A62" s="9" t="s">
        <v>53</v>
      </c>
      <c r="B62" s="9" t="s">
        <v>23</v>
      </c>
      <c r="C62" s="9" t="s">
        <v>24</v>
      </c>
      <c r="D62" s="9" t="s">
        <v>29</v>
      </c>
      <c r="E62" s="12" t="s">
        <v>26</v>
      </c>
      <c r="F62" s="77">
        <f>2766.3+95.3-211.64-940-47.5992</f>
        <v>1662.3608000000004</v>
      </c>
      <c r="G62" s="66">
        <f>2861.6-15</f>
        <v>2846.6</v>
      </c>
      <c r="H62" s="66">
        <v>2861.6</v>
      </c>
    </row>
    <row r="63" spans="1:8" ht="84.95" customHeight="1" x14ac:dyDescent="0.2">
      <c r="A63" s="15" t="s">
        <v>55</v>
      </c>
      <c r="B63" s="15" t="s">
        <v>13</v>
      </c>
      <c r="C63" s="9"/>
      <c r="D63" s="9"/>
      <c r="E63" s="21" t="s">
        <v>56</v>
      </c>
      <c r="F63" s="66">
        <f t="shared" ref="F63:H64" si="10">F64</f>
        <v>118</v>
      </c>
      <c r="G63" s="66">
        <f t="shared" si="10"/>
        <v>0</v>
      </c>
      <c r="H63" s="66">
        <f t="shared" si="10"/>
        <v>0</v>
      </c>
    </row>
    <row r="64" spans="1:8" ht="42" customHeight="1" x14ac:dyDescent="0.2">
      <c r="A64" s="15" t="s">
        <v>55</v>
      </c>
      <c r="B64" s="15" t="s">
        <v>21</v>
      </c>
      <c r="C64" s="9"/>
      <c r="D64" s="9"/>
      <c r="E64" s="22" t="s">
        <v>22</v>
      </c>
      <c r="F64" s="66">
        <f t="shared" si="10"/>
        <v>118</v>
      </c>
      <c r="G64" s="66">
        <f t="shared" si="10"/>
        <v>0</v>
      </c>
      <c r="H64" s="66">
        <f t="shared" si="10"/>
        <v>0</v>
      </c>
    </row>
    <row r="65" spans="1:8" ht="24.75" customHeight="1" x14ac:dyDescent="0.2">
      <c r="A65" s="15" t="s">
        <v>55</v>
      </c>
      <c r="B65" s="15" t="s">
        <v>23</v>
      </c>
      <c r="C65" s="9" t="s">
        <v>24</v>
      </c>
      <c r="D65" s="9" t="s">
        <v>29</v>
      </c>
      <c r="E65" s="21" t="s">
        <v>26</v>
      </c>
      <c r="F65" s="66">
        <v>118</v>
      </c>
      <c r="G65" s="66">
        <v>0</v>
      </c>
      <c r="H65" s="66">
        <v>0</v>
      </c>
    </row>
    <row r="66" spans="1:8" ht="66.95" customHeight="1" x14ac:dyDescent="0.2">
      <c r="A66" s="15" t="s">
        <v>57</v>
      </c>
      <c r="B66" s="15" t="s">
        <v>13</v>
      </c>
      <c r="C66" s="9"/>
      <c r="D66" s="9"/>
      <c r="E66" s="21" t="s">
        <v>58</v>
      </c>
      <c r="F66" s="66">
        <f t="shared" ref="F66:H67" si="11">F67</f>
        <v>280</v>
      </c>
      <c r="G66" s="66">
        <f t="shared" si="11"/>
        <v>0</v>
      </c>
      <c r="H66" s="66">
        <f t="shared" si="11"/>
        <v>0</v>
      </c>
    </row>
    <row r="67" spans="1:8" ht="35.1" customHeight="1" x14ac:dyDescent="0.2">
      <c r="A67" s="15" t="s">
        <v>57</v>
      </c>
      <c r="B67" s="15" t="s">
        <v>21</v>
      </c>
      <c r="C67" s="9"/>
      <c r="D67" s="9"/>
      <c r="E67" s="22" t="s">
        <v>22</v>
      </c>
      <c r="F67" s="66">
        <f t="shared" si="11"/>
        <v>280</v>
      </c>
      <c r="G67" s="66">
        <f t="shared" si="11"/>
        <v>0</v>
      </c>
      <c r="H67" s="66">
        <f t="shared" si="11"/>
        <v>0</v>
      </c>
    </row>
    <row r="68" spans="1:8" ht="24.75" customHeight="1" x14ac:dyDescent="0.2">
      <c r="A68" s="15" t="s">
        <v>57</v>
      </c>
      <c r="B68" s="15" t="s">
        <v>23</v>
      </c>
      <c r="C68" s="9" t="s">
        <v>24</v>
      </c>
      <c r="D68" s="9" t="s">
        <v>29</v>
      </c>
      <c r="E68" s="21" t="s">
        <v>26</v>
      </c>
      <c r="F68" s="77">
        <f>388.5-43.54298-64.95702</f>
        <v>280</v>
      </c>
      <c r="G68" s="66">
        <v>0</v>
      </c>
      <c r="H68" s="66">
        <v>0</v>
      </c>
    </row>
    <row r="69" spans="1:8" ht="66" customHeight="1" x14ac:dyDescent="0.2">
      <c r="A69" s="9" t="s">
        <v>59</v>
      </c>
      <c r="B69" s="9" t="s">
        <v>13</v>
      </c>
      <c r="C69" s="9"/>
      <c r="D69" s="9"/>
      <c r="E69" s="10" t="s">
        <v>60</v>
      </c>
      <c r="F69" s="66">
        <f>F71</f>
        <v>0</v>
      </c>
      <c r="G69" s="66">
        <f>G71</f>
        <v>770.7800000000002</v>
      </c>
      <c r="H69" s="66">
        <f>H71</f>
        <v>0</v>
      </c>
    </row>
    <row r="70" spans="1:8" ht="36" customHeight="1" x14ac:dyDescent="0.2">
      <c r="A70" s="9" t="s">
        <v>59</v>
      </c>
      <c r="B70" s="9" t="s">
        <v>61</v>
      </c>
      <c r="C70" s="9"/>
      <c r="D70" s="9"/>
      <c r="E70" s="12" t="s">
        <v>62</v>
      </c>
      <c r="F70" s="66">
        <f>F71</f>
        <v>0</v>
      </c>
      <c r="G70" s="66">
        <f>G71</f>
        <v>770.7800000000002</v>
      </c>
      <c r="H70" s="66">
        <f>H71</f>
        <v>0</v>
      </c>
    </row>
    <row r="71" spans="1:8" ht="35.1" customHeight="1" x14ac:dyDescent="0.2">
      <c r="A71" s="9" t="s">
        <v>59</v>
      </c>
      <c r="B71" s="9" t="s">
        <v>63</v>
      </c>
      <c r="C71" s="9" t="s">
        <v>64</v>
      </c>
      <c r="D71" s="9" t="s">
        <v>29</v>
      </c>
      <c r="E71" s="10" t="s">
        <v>65</v>
      </c>
      <c r="F71" s="66">
        <f>2142.4-2142.4</f>
        <v>0</v>
      </c>
      <c r="G71" s="66">
        <f>2142.4-1371.62</f>
        <v>770.7800000000002</v>
      </c>
      <c r="H71" s="66">
        <f>2142.4-2142.4</f>
        <v>0</v>
      </c>
    </row>
    <row r="72" spans="1:8" ht="35.1" customHeight="1" x14ac:dyDescent="0.2">
      <c r="A72" s="78" t="s">
        <v>860</v>
      </c>
      <c r="B72" s="78" t="s">
        <v>13</v>
      </c>
      <c r="C72" s="64"/>
      <c r="D72" s="64"/>
      <c r="E72" s="79" t="s">
        <v>859</v>
      </c>
      <c r="F72" s="77">
        <f t="shared" ref="F72:H74" si="12">F73</f>
        <v>183.33332999999999</v>
      </c>
      <c r="G72" s="77">
        <f t="shared" si="12"/>
        <v>0</v>
      </c>
      <c r="H72" s="77">
        <f t="shared" si="12"/>
        <v>0</v>
      </c>
    </row>
    <row r="73" spans="1:8" ht="35.1" customHeight="1" x14ac:dyDescent="0.2">
      <c r="A73" s="78" t="s">
        <v>861</v>
      </c>
      <c r="B73" s="78" t="s">
        <v>13</v>
      </c>
      <c r="C73" s="64"/>
      <c r="D73" s="64"/>
      <c r="E73" s="79" t="s">
        <v>142</v>
      </c>
      <c r="F73" s="77">
        <f t="shared" si="12"/>
        <v>183.33332999999999</v>
      </c>
      <c r="G73" s="77">
        <f t="shared" si="12"/>
        <v>0</v>
      </c>
      <c r="H73" s="77">
        <f t="shared" si="12"/>
        <v>0</v>
      </c>
    </row>
    <row r="74" spans="1:8" ht="35.1" customHeight="1" x14ac:dyDescent="0.2">
      <c r="A74" s="78" t="s">
        <v>861</v>
      </c>
      <c r="B74" s="78" t="s">
        <v>21</v>
      </c>
      <c r="C74" s="64"/>
      <c r="D74" s="64"/>
      <c r="E74" s="80" t="s">
        <v>22</v>
      </c>
      <c r="F74" s="77">
        <f t="shared" si="12"/>
        <v>183.33332999999999</v>
      </c>
      <c r="G74" s="77">
        <f t="shared" si="12"/>
        <v>0</v>
      </c>
      <c r="H74" s="77">
        <f t="shared" si="12"/>
        <v>0</v>
      </c>
    </row>
    <row r="75" spans="1:8" ht="35.1" customHeight="1" x14ac:dyDescent="0.2">
      <c r="A75" s="78" t="s">
        <v>861</v>
      </c>
      <c r="B75" s="78" t="s">
        <v>23</v>
      </c>
      <c r="C75" s="9" t="s">
        <v>64</v>
      </c>
      <c r="D75" s="9" t="s">
        <v>29</v>
      </c>
      <c r="E75" s="79" t="s">
        <v>26</v>
      </c>
      <c r="F75" s="77">
        <v>183.33332999999999</v>
      </c>
      <c r="G75" s="77">
        <v>0</v>
      </c>
      <c r="H75" s="77">
        <v>0</v>
      </c>
    </row>
    <row r="76" spans="1:8" ht="36.75" customHeight="1" x14ac:dyDescent="0.2">
      <c r="A76" s="9" t="s">
        <v>66</v>
      </c>
      <c r="B76" s="9" t="s">
        <v>13</v>
      </c>
      <c r="C76" s="9"/>
      <c r="D76" s="9"/>
      <c r="E76" s="10" t="s">
        <v>67</v>
      </c>
      <c r="F76" s="66">
        <f>F77+F80</f>
        <v>22358.150529999999</v>
      </c>
      <c r="G76" s="66">
        <f>G77+G80</f>
        <v>19245.7</v>
      </c>
      <c r="H76" s="66">
        <f>H77+H80</f>
        <v>18245.7</v>
      </c>
    </row>
    <row r="77" spans="1:8" ht="24" customHeight="1" x14ac:dyDescent="0.2">
      <c r="A77" s="9" t="s">
        <v>68</v>
      </c>
      <c r="B77" s="9" t="s">
        <v>13</v>
      </c>
      <c r="C77" s="9"/>
      <c r="D77" s="9"/>
      <c r="E77" s="10" t="s">
        <v>69</v>
      </c>
      <c r="F77" s="68">
        <f t="shared" ref="F77:H78" si="13">F78</f>
        <v>5116.5684300000003</v>
      </c>
      <c r="G77" s="68">
        <f t="shared" si="13"/>
        <v>2493.1999999999998</v>
      </c>
      <c r="H77" s="68">
        <f t="shared" si="13"/>
        <v>2493.1999999999998</v>
      </c>
    </row>
    <row r="78" spans="1:8" ht="39" customHeight="1" x14ac:dyDescent="0.2">
      <c r="A78" s="9" t="s">
        <v>68</v>
      </c>
      <c r="B78" s="9" t="s">
        <v>21</v>
      </c>
      <c r="C78" s="9"/>
      <c r="D78" s="9"/>
      <c r="E78" s="12" t="s">
        <v>22</v>
      </c>
      <c r="F78" s="66">
        <f t="shared" si="13"/>
        <v>5116.5684300000003</v>
      </c>
      <c r="G78" s="66">
        <f t="shared" si="13"/>
        <v>2493.1999999999998</v>
      </c>
      <c r="H78" s="66">
        <f t="shared" si="13"/>
        <v>2493.1999999999998</v>
      </c>
    </row>
    <row r="79" spans="1:8" ht="27" customHeight="1" x14ac:dyDescent="0.2">
      <c r="A79" s="9" t="s">
        <v>68</v>
      </c>
      <c r="B79" s="9" t="s">
        <v>23</v>
      </c>
      <c r="C79" s="9" t="s">
        <v>24</v>
      </c>
      <c r="D79" s="9" t="s">
        <v>29</v>
      </c>
      <c r="E79" s="12" t="s">
        <v>26</v>
      </c>
      <c r="F79" s="77">
        <f>2465.5+27.7+1116.33267+1310.21675+73+123.81901</f>
        <v>5116.5684300000003</v>
      </c>
      <c r="G79" s="66">
        <f>2465.5+27.7</f>
        <v>2493.1999999999998</v>
      </c>
      <c r="H79" s="66">
        <f>2465.5+27.7</f>
        <v>2493.1999999999998</v>
      </c>
    </row>
    <row r="80" spans="1:8" ht="21.75" customHeight="1" x14ac:dyDescent="0.2">
      <c r="A80" s="14" t="s">
        <v>70</v>
      </c>
      <c r="B80" s="14" t="s">
        <v>13</v>
      </c>
      <c r="C80" s="14"/>
      <c r="D80" s="14"/>
      <c r="E80" s="10" t="s">
        <v>71</v>
      </c>
      <c r="F80" s="68">
        <f t="shared" ref="F80:H81" si="14">F81</f>
        <v>17241.5821</v>
      </c>
      <c r="G80" s="68">
        <f t="shared" si="14"/>
        <v>16752.5</v>
      </c>
      <c r="H80" s="68">
        <f t="shared" si="14"/>
        <v>15752.5</v>
      </c>
    </row>
    <row r="81" spans="1:8" ht="36" customHeight="1" x14ac:dyDescent="0.2">
      <c r="A81" s="9" t="s">
        <v>70</v>
      </c>
      <c r="B81" s="9" t="s">
        <v>21</v>
      </c>
      <c r="C81" s="9"/>
      <c r="D81" s="9"/>
      <c r="E81" s="12" t="s">
        <v>22</v>
      </c>
      <c r="F81" s="66">
        <f t="shared" si="14"/>
        <v>17241.5821</v>
      </c>
      <c r="G81" s="66">
        <f t="shared" si="14"/>
        <v>16752.5</v>
      </c>
      <c r="H81" s="66">
        <f t="shared" si="14"/>
        <v>15752.5</v>
      </c>
    </row>
    <row r="82" spans="1:8" ht="23.25" customHeight="1" x14ac:dyDescent="0.2">
      <c r="A82" s="9" t="s">
        <v>70</v>
      </c>
      <c r="B82" s="9" t="s">
        <v>23</v>
      </c>
      <c r="C82" s="9" t="s">
        <v>24</v>
      </c>
      <c r="D82" s="9" t="s">
        <v>29</v>
      </c>
      <c r="E82" s="12" t="s">
        <v>26</v>
      </c>
      <c r="F82" s="77">
        <f>14873.5+2879-966.05074+490.143-2300+2481-216.01016</f>
        <v>17241.5821</v>
      </c>
      <c r="G82" s="66">
        <f>14873.5+2879-1000</f>
        <v>16752.5</v>
      </c>
      <c r="H82" s="66">
        <f>14873.5+2879-2000</f>
        <v>15752.5</v>
      </c>
    </row>
    <row r="83" spans="1:8" ht="24" customHeight="1" x14ac:dyDescent="0.2">
      <c r="A83" s="9" t="s">
        <v>72</v>
      </c>
      <c r="B83" s="9" t="s">
        <v>13</v>
      </c>
      <c r="C83" s="9"/>
      <c r="D83" s="9"/>
      <c r="E83" s="10" t="s">
        <v>73</v>
      </c>
      <c r="F83" s="69">
        <f>F84+F111+F121+F178+F191+F195+F202+F219+F241</f>
        <v>1247601.3086499996</v>
      </c>
      <c r="G83" s="69">
        <f>G84+G111+G121+G178+G191+G195+G202+G219+G241</f>
        <v>1312841.45</v>
      </c>
      <c r="H83" s="69">
        <f>H84+H111+H121+H178+H191+H195+H202+H219+H241</f>
        <v>1209828.0300000003</v>
      </c>
    </row>
    <row r="84" spans="1:8" ht="54.95" customHeight="1" x14ac:dyDescent="0.2">
      <c r="A84" s="9" t="s">
        <v>74</v>
      </c>
      <c r="B84" s="9" t="s">
        <v>13</v>
      </c>
      <c r="C84" s="9"/>
      <c r="D84" s="9"/>
      <c r="E84" s="21" t="s">
        <v>75</v>
      </c>
      <c r="F84" s="69">
        <f>F85+F90+F93+F96+F99+F102+F105+F108</f>
        <v>871541.34826999973</v>
      </c>
      <c r="G84" s="69">
        <f>G85+G96+G99+G102+G105+G108</f>
        <v>849908.65</v>
      </c>
      <c r="H84" s="69">
        <f>H85+H96+H99+H102+H105+H108</f>
        <v>856465.65</v>
      </c>
    </row>
    <row r="85" spans="1:8" ht="98.25" customHeight="1" x14ac:dyDescent="0.2">
      <c r="A85" s="9" t="s">
        <v>76</v>
      </c>
      <c r="B85" s="9" t="s">
        <v>13</v>
      </c>
      <c r="C85" s="9"/>
      <c r="D85" s="9"/>
      <c r="E85" s="10" t="s">
        <v>77</v>
      </c>
      <c r="F85" s="69">
        <f>F86+F88</f>
        <v>689270.2</v>
      </c>
      <c r="G85" s="69">
        <f t="shared" ref="G85:H85" si="15">G86+G88</f>
        <v>689703.8</v>
      </c>
      <c r="H85" s="69">
        <f t="shared" si="15"/>
        <v>696149.10000000009</v>
      </c>
    </row>
    <row r="86" spans="1:8" ht="69" customHeight="1" x14ac:dyDescent="0.2">
      <c r="A86" s="9" t="s">
        <v>76</v>
      </c>
      <c r="B86" s="9" t="s">
        <v>78</v>
      </c>
      <c r="C86" s="9"/>
      <c r="D86" s="9"/>
      <c r="E86" s="10" t="s">
        <v>79</v>
      </c>
      <c r="F86" s="70">
        <f>F87</f>
        <v>1285.5999999999999</v>
      </c>
      <c r="G86" s="70">
        <f>G87</f>
        <v>912</v>
      </c>
      <c r="H86" s="70">
        <f>H87</f>
        <v>0</v>
      </c>
    </row>
    <row r="87" spans="1:8" ht="23.25" customHeight="1" x14ac:dyDescent="0.2">
      <c r="A87" s="9" t="s">
        <v>76</v>
      </c>
      <c r="B87" s="9" t="s">
        <v>80</v>
      </c>
      <c r="C87" s="9" t="s">
        <v>24</v>
      </c>
      <c r="D87" s="9" t="s">
        <v>81</v>
      </c>
      <c r="E87" s="12" t="s">
        <v>82</v>
      </c>
      <c r="F87" s="89">
        <f>3270-1984.4</f>
        <v>1285.5999999999999</v>
      </c>
      <c r="G87" s="89">
        <f>3286-2374</f>
        <v>912</v>
      </c>
      <c r="H87" s="89">
        <f>3319-3319</f>
        <v>0</v>
      </c>
    </row>
    <row r="88" spans="1:8" ht="36" customHeight="1" x14ac:dyDescent="0.2">
      <c r="A88" s="9" t="s">
        <v>76</v>
      </c>
      <c r="B88" s="9" t="s">
        <v>21</v>
      </c>
      <c r="C88" s="9"/>
      <c r="D88" s="9"/>
      <c r="E88" s="12" t="s">
        <v>22</v>
      </c>
      <c r="F88" s="70">
        <f>F89</f>
        <v>687984.6</v>
      </c>
      <c r="G88" s="70">
        <f>G89</f>
        <v>688791.8</v>
      </c>
      <c r="H88" s="70">
        <f>H89</f>
        <v>696149.10000000009</v>
      </c>
    </row>
    <row r="89" spans="1:8" ht="24" customHeight="1" x14ac:dyDescent="0.2">
      <c r="A89" s="9" t="s">
        <v>76</v>
      </c>
      <c r="B89" s="9" t="s">
        <v>23</v>
      </c>
      <c r="C89" s="9" t="s">
        <v>24</v>
      </c>
      <c r="D89" s="9" t="s">
        <v>81</v>
      </c>
      <c r="E89" s="12" t="s">
        <v>26</v>
      </c>
      <c r="F89" s="77">
        <f>621454.6+50.1+2075.4+64404.5</f>
        <v>687984.6</v>
      </c>
      <c r="G89" s="77">
        <f>624632.5+2465+61694.3</f>
        <v>688791.8</v>
      </c>
      <c r="H89" s="77">
        <f>631044.8+3410+61694.3</f>
        <v>696149.10000000009</v>
      </c>
    </row>
    <row r="90" spans="1:8" ht="41.25" customHeight="1" x14ac:dyDescent="0.2">
      <c r="A90" s="84" t="s">
        <v>867</v>
      </c>
      <c r="B90" s="78" t="s">
        <v>13</v>
      </c>
      <c r="C90" s="64"/>
      <c r="D90" s="64"/>
      <c r="E90" s="85" t="s">
        <v>863</v>
      </c>
      <c r="F90" s="86">
        <f>F92</f>
        <v>911.7</v>
      </c>
      <c r="G90" s="77">
        <f>G92</f>
        <v>0</v>
      </c>
      <c r="H90" s="77">
        <f>H92</f>
        <v>0</v>
      </c>
    </row>
    <row r="91" spans="1:8" ht="39" customHeight="1" x14ac:dyDescent="0.2">
      <c r="A91" s="84" t="s">
        <v>867</v>
      </c>
      <c r="B91" s="78" t="s">
        <v>21</v>
      </c>
      <c r="C91" s="64"/>
      <c r="D91" s="64"/>
      <c r="E91" s="85" t="s">
        <v>22</v>
      </c>
      <c r="F91" s="86">
        <f t="shared" ref="F91:H91" si="16">F92</f>
        <v>911.7</v>
      </c>
      <c r="G91" s="77">
        <f t="shared" si="16"/>
        <v>0</v>
      </c>
      <c r="H91" s="77">
        <f t="shared" si="16"/>
        <v>0</v>
      </c>
    </row>
    <row r="92" spans="1:8" ht="24" customHeight="1" x14ac:dyDescent="0.2">
      <c r="A92" s="84" t="s">
        <v>867</v>
      </c>
      <c r="B92" s="78" t="s">
        <v>23</v>
      </c>
      <c r="C92" s="9" t="s">
        <v>24</v>
      </c>
      <c r="D92" s="9" t="s">
        <v>81</v>
      </c>
      <c r="E92" s="87" t="s">
        <v>26</v>
      </c>
      <c r="F92" s="88">
        <v>911.7</v>
      </c>
      <c r="G92" s="89">
        <v>0</v>
      </c>
      <c r="H92" s="89">
        <v>0</v>
      </c>
    </row>
    <row r="93" spans="1:8" ht="51" customHeight="1" x14ac:dyDescent="0.2">
      <c r="A93" s="84" t="s">
        <v>868</v>
      </c>
      <c r="B93" s="78" t="s">
        <v>13</v>
      </c>
      <c r="C93" s="64"/>
      <c r="D93" s="64"/>
      <c r="E93" s="85" t="s">
        <v>864</v>
      </c>
      <c r="F93" s="86">
        <f>F95</f>
        <v>9.1</v>
      </c>
      <c r="G93" s="77">
        <f>G95</f>
        <v>0</v>
      </c>
      <c r="H93" s="77">
        <f>H95</f>
        <v>0</v>
      </c>
    </row>
    <row r="94" spans="1:8" ht="38.25" customHeight="1" x14ac:dyDescent="0.2">
      <c r="A94" s="84" t="s">
        <v>868</v>
      </c>
      <c r="B94" s="78" t="s">
        <v>21</v>
      </c>
      <c r="C94" s="64"/>
      <c r="D94" s="64"/>
      <c r="E94" s="85" t="s">
        <v>22</v>
      </c>
      <c r="F94" s="86">
        <f>F95</f>
        <v>9.1</v>
      </c>
      <c r="G94" s="77">
        <f>G95</f>
        <v>0</v>
      </c>
      <c r="H94" s="77">
        <f>H95</f>
        <v>0</v>
      </c>
    </row>
    <row r="95" spans="1:8" ht="24" customHeight="1" x14ac:dyDescent="0.2">
      <c r="A95" s="84" t="s">
        <v>868</v>
      </c>
      <c r="B95" s="78" t="s">
        <v>23</v>
      </c>
      <c r="C95" s="9" t="s">
        <v>24</v>
      </c>
      <c r="D95" s="9" t="s">
        <v>81</v>
      </c>
      <c r="E95" s="87" t="s">
        <v>26</v>
      </c>
      <c r="F95" s="88">
        <v>9.1</v>
      </c>
      <c r="G95" s="89">
        <v>0</v>
      </c>
      <c r="H95" s="89">
        <v>0</v>
      </c>
    </row>
    <row r="96" spans="1:8" ht="33.950000000000003" customHeight="1" x14ac:dyDescent="0.2">
      <c r="A96" s="14" t="s">
        <v>83</v>
      </c>
      <c r="B96" s="14" t="s">
        <v>13</v>
      </c>
      <c r="C96" s="14"/>
      <c r="D96" s="14"/>
      <c r="E96" s="10" t="s">
        <v>84</v>
      </c>
      <c r="F96" s="69">
        <f t="shared" ref="F96:H97" si="17">F97</f>
        <v>92888.388519999979</v>
      </c>
      <c r="G96" s="69">
        <f t="shared" si="17"/>
        <v>94931.7</v>
      </c>
      <c r="H96" s="69">
        <f t="shared" si="17"/>
        <v>94931.7</v>
      </c>
    </row>
    <row r="97" spans="1:8" ht="32.25" customHeight="1" x14ac:dyDescent="0.2">
      <c r="A97" s="9" t="s">
        <v>83</v>
      </c>
      <c r="B97" s="9" t="s">
        <v>21</v>
      </c>
      <c r="C97" s="9"/>
      <c r="D97" s="9"/>
      <c r="E97" s="12" t="s">
        <v>22</v>
      </c>
      <c r="F97" s="69">
        <f t="shared" si="17"/>
        <v>92888.388519999979</v>
      </c>
      <c r="G97" s="69">
        <f t="shared" si="17"/>
        <v>94931.7</v>
      </c>
      <c r="H97" s="69">
        <f t="shared" si="17"/>
        <v>94931.7</v>
      </c>
    </row>
    <row r="98" spans="1:8" ht="23.25" customHeight="1" x14ac:dyDescent="0.2">
      <c r="A98" s="9" t="s">
        <v>83</v>
      </c>
      <c r="B98" s="9" t="s">
        <v>23</v>
      </c>
      <c r="C98" s="9" t="s">
        <v>24</v>
      </c>
      <c r="D98" s="9" t="s">
        <v>81</v>
      </c>
      <c r="E98" s="12" t="s">
        <v>26</v>
      </c>
      <c r="F98" s="77">
        <f>71568+9101.37+5933.52+4734.57+3594.3-424.21-1000-610.06148-9.1</f>
        <v>92888.388519999979</v>
      </c>
      <c r="G98" s="66">
        <v>94931.7</v>
      </c>
      <c r="H98" s="66">
        <v>94931.7</v>
      </c>
    </row>
    <row r="99" spans="1:8" ht="36" customHeight="1" x14ac:dyDescent="0.2">
      <c r="A99" s="9" t="s">
        <v>85</v>
      </c>
      <c r="B99" s="9" t="s">
        <v>13</v>
      </c>
      <c r="C99" s="9"/>
      <c r="D99" s="9"/>
      <c r="E99" s="10" t="s">
        <v>86</v>
      </c>
      <c r="F99" s="66">
        <f t="shared" ref="F99:H100" si="18">F100</f>
        <v>56699.921999999999</v>
      </c>
      <c r="G99" s="66">
        <f t="shared" si="18"/>
        <v>53210.35</v>
      </c>
      <c r="H99" s="66">
        <f t="shared" si="18"/>
        <v>53210.35</v>
      </c>
    </row>
    <row r="100" spans="1:8" ht="36" customHeight="1" x14ac:dyDescent="0.2">
      <c r="A100" s="9" t="s">
        <v>85</v>
      </c>
      <c r="B100" s="9" t="s">
        <v>21</v>
      </c>
      <c r="C100" s="9"/>
      <c r="D100" s="9"/>
      <c r="E100" s="12" t="s">
        <v>22</v>
      </c>
      <c r="F100" s="66">
        <f t="shared" si="18"/>
        <v>56699.921999999999</v>
      </c>
      <c r="G100" s="66">
        <f t="shared" si="18"/>
        <v>53210.35</v>
      </c>
      <c r="H100" s="66">
        <f t="shared" si="18"/>
        <v>53210.35</v>
      </c>
    </row>
    <row r="101" spans="1:8" ht="16.5" customHeight="1" x14ac:dyDescent="0.2">
      <c r="A101" s="9" t="s">
        <v>85</v>
      </c>
      <c r="B101" s="9" t="s">
        <v>23</v>
      </c>
      <c r="C101" s="9" t="s">
        <v>24</v>
      </c>
      <c r="D101" s="9" t="s">
        <v>81</v>
      </c>
      <c r="E101" s="12" t="s">
        <v>26</v>
      </c>
      <c r="F101" s="77">
        <f>53210.35+3489.572</f>
        <v>56699.921999999999</v>
      </c>
      <c r="G101" s="66">
        <v>53210.35</v>
      </c>
      <c r="H101" s="66">
        <v>53210.35</v>
      </c>
    </row>
    <row r="102" spans="1:8" ht="21" customHeight="1" x14ac:dyDescent="0.2">
      <c r="A102" s="9" t="s">
        <v>87</v>
      </c>
      <c r="B102" s="9" t="s">
        <v>13</v>
      </c>
      <c r="C102" s="9"/>
      <c r="D102" s="9"/>
      <c r="E102" s="10" t="s">
        <v>88</v>
      </c>
      <c r="F102" s="66">
        <f t="shared" ref="F102:H103" si="19">F103</f>
        <v>3210.2</v>
      </c>
      <c r="G102" s="66">
        <f t="shared" si="19"/>
        <v>4084.3</v>
      </c>
      <c r="H102" s="66">
        <f t="shared" si="19"/>
        <v>4196</v>
      </c>
    </row>
    <row r="103" spans="1:8" ht="38.1" customHeight="1" x14ac:dyDescent="0.2">
      <c r="A103" s="9" t="s">
        <v>87</v>
      </c>
      <c r="B103" s="9" t="s">
        <v>21</v>
      </c>
      <c r="C103" s="9"/>
      <c r="D103" s="9"/>
      <c r="E103" s="12" t="s">
        <v>22</v>
      </c>
      <c r="F103" s="66">
        <f t="shared" si="19"/>
        <v>3210.2</v>
      </c>
      <c r="G103" s="66">
        <f t="shared" si="19"/>
        <v>4084.3</v>
      </c>
      <c r="H103" s="66">
        <f t="shared" si="19"/>
        <v>4196</v>
      </c>
    </row>
    <row r="104" spans="1:8" ht="21.75" customHeight="1" x14ac:dyDescent="0.2">
      <c r="A104" s="9" t="s">
        <v>87</v>
      </c>
      <c r="B104" s="9" t="s">
        <v>23</v>
      </c>
      <c r="C104" s="9" t="s">
        <v>24</v>
      </c>
      <c r="D104" s="9" t="s">
        <v>81</v>
      </c>
      <c r="E104" s="12" t="s">
        <v>26</v>
      </c>
      <c r="F104" s="66">
        <f>4154-353.8-590</f>
        <v>3210.2</v>
      </c>
      <c r="G104" s="66">
        <f>4154-69.7</f>
        <v>4084.3</v>
      </c>
      <c r="H104" s="66">
        <f>4154+42</f>
        <v>4196</v>
      </c>
    </row>
    <row r="105" spans="1:8" ht="34.5" customHeight="1" x14ac:dyDescent="0.2">
      <c r="A105" s="9" t="s">
        <v>89</v>
      </c>
      <c r="B105" s="9" t="s">
        <v>13</v>
      </c>
      <c r="C105" s="9"/>
      <c r="D105" s="9"/>
      <c r="E105" s="12" t="s">
        <v>90</v>
      </c>
      <c r="F105" s="66">
        <f t="shared" ref="F105:H106" si="20">F106</f>
        <v>27543.837749999999</v>
      </c>
      <c r="G105" s="66">
        <f t="shared" si="20"/>
        <v>6970.5</v>
      </c>
      <c r="H105" s="66">
        <f t="shared" si="20"/>
        <v>6970.5</v>
      </c>
    </row>
    <row r="106" spans="1:8" ht="32.25" customHeight="1" x14ac:dyDescent="0.2">
      <c r="A106" s="9" t="s">
        <v>89</v>
      </c>
      <c r="B106" s="9" t="s">
        <v>21</v>
      </c>
      <c r="C106" s="9"/>
      <c r="D106" s="9"/>
      <c r="E106" s="12" t="s">
        <v>22</v>
      </c>
      <c r="F106" s="66">
        <f t="shared" si="20"/>
        <v>27543.837749999999</v>
      </c>
      <c r="G106" s="66">
        <f t="shared" si="20"/>
        <v>6970.5</v>
      </c>
      <c r="H106" s="66">
        <f t="shared" si="20"/>
        <v>6970.5</v>
      </c>
    </row>
    <row r="107" spans="1:8" ht="24.75" customHeight="1" x14ac:dyDescent="0.2">
      <c r="A107" s="9" t="s">
        <v>89</v>
      </c>
      <c r="B107" s="9" t="s">
        <v>23</v>
      </c>
      <c r="C107" s="9" t="s">
        <v>24</v>
      </c>
      <c r="D107" s="9" t="s">
        <v>81</v>
      </c>
      <c r="E107" s="12" t="s">
        <v>26</v>
      </c>
      <c r="F107" s="77">
        <f>8334.5+20000-790.66225</f>
        <v>27543.837749999999</v>
      </c>
      <c r="G107" s="66">
        <f>8334.5-1364</f>
        <v>6970.5</v>
      </c>
      <c r="H107" s="66">
        <f>8334.5-1364</f>
        <v>6970.5</v>
      </c>
    </row>
    <row r="108" spans="1:8" ht="50.1" customHeight="1" x14ac:dyDescent="0.2">
      <c r="A108" s="9" t="s">
        <v>91</v>
      </c>
      <c r="B108" s="9" t="s">
        <v>13</v>
      </c>
      <c r="C108" s="9"/>
      <c r="D108" s="9"/>
      <c r="E108" s="10" t="s">
        <v>92</v>
      </c>
      <c r="F108" s="66">
        <f t="shared" ref="F108:H109" si="21">F109</f>
        <v>1008</v>
      </c>
      <c r="G108" s="66">
        <f t="shared" si="21"/>
        <v>1008</v>
      </c>
      <c r="H108" s="66">
        <f t="shared" si="21"/>
        <v>1008</v>
      </c>
    </row>
    <row r="109" spans="1:8" ht="23.25" customHeight="1" x14ac:dyDescent="0.2">
      <c r="A109" s="9" t="s">
        <v>91</v>
      </c>
      <c r="B109" s="9" t="s">
        <v>21</v>
      </c>
      <c r="C109" s="9"/>
      <c r="D109" s="9"/>
      <c r="E109" s="10" t="s">
        <v>22</v>
      </c>
      <c r="F109" s="66">
        <f t="shared" si="21"/>
        <v>1008</v>
      </c>
      <c r="G109" s="66">
        <f t="shared" si="21"/>
        <v>1008</v>
      </c>
      <c r="H109" s="66">
        <f t="shared" si="21"/>
        <v>1008</v>
      </c>
    </row>
    <row r="110" spans="1:8" ht="23.25" customHeight="1" x14ac:dyDescent="0.2">
      <c r="A110" s="9" t="s">
        <v>91</v>
      </c>
      <c r="B110" s="9" t="s">
        <v>23</v>
      </c>
      <c r="C110" s="9" t="s">
        <v>24</v>
      </c>
      <c r="D110" s="9" t="s">
        <v>81</v>
      </c>
      <c r="E110" s="10" t="s">
        <v>26</v>
      </c>
      <c r="F110" s="66">
        <v>1008</v>
      </c>
      <c r="G110" s="66">
        <v>1008</v>
      </c>
      <c r="H110" s="66">
        <v>1008</v>
      </c>
    </row>
    <row r="111" spans="1:8" ht="35.1" customHeight="1" x14ac:dyDescent="0.2">
      <c r="A111" s="15" t="s">
        <v>93</v>
      </c>
      <c r="B111" s="15" t="s">
        <v>13</v>
      </c>
      <c r="C111" s="9"/>
      <c r="D111" s="9"/>
      <c r="E111" s="21" t="s">
        <v>94</v>
      </c>
      <c r="F111" s="70">
        <f>F115+F112+F118</f>
        <v>61503.8</v>
      </c>
      <c r="G111" s="70">
        <f>G115+G112+G118</f>
        <v>61602.600000000006</v>
      </c>
      <c r="H111" s="70">
        <f>H115+H112+H118</f>
        <v>61722.100000000006</v>
      </c>
    </row>
    <row r="112" spans="1:8" ht="49.5" customHeight="1" x14ac:dyDescent="0.2">
      <c r="A112" s="15" t="s">
        <v>95</v>
      </c>
      <c r="B112" s="15" t="s">
        <v>13</v>
      </c>
      <c r="C112" s="9"/>
      <c r="D112" s="9"/>
      <c r="E112" s="11" t="s">
        <v>96</v>
      </c>
      <c r="F112" s="70">
        <f t="shared" ref="F112:H113" si="22">F113</f>
        <v>2031.1</v>
      </c>
      <c r="G112" s="70">
        <f t="shared" si="22"/>
        <v>2031.1</v>
      </c>
      <c r="H112" s="70">
        <f t="shared" si="22"/>
        <v>2031.1</v>
      </c>
    </row>
    <row r="113" spans="1:8" ht="39" customHeight="1" x14ac:dyDescent="0.2">
      <c r="A113" s="15" t="s">
        <v>95</v>
      </c>
      <c r="B113" s="15" t="s">
        <v>21</v>
      </c>
      <c r="C113" s="9"/>
      <c r="D113" s="9"/>
      <c r="E113" s="16" t="s">
        <v>22</v>
      </c>
      <c r="F113" s="70">
        <f t="shared" si="22"/>
        <v>2031.1</v>
      </c>
      <c r="G113" s="70">
        <f t="shared" si="22"/>
        <v>2031.1</v>
      </c>
      <c r="H113" s="70">
        <f t="shared" si="22"/>
        <v>2031.1</v>
      </c>
    </row>
    <row r="114" spans="1:8" ht="23.25" customHeight="1" x14ac:dyDescent="0.2">
      <c r="A114" s="15" t="s">
        <v>95</v>
      </c>
      <c r="B114" s="15" t="s">
        <v>23</v>
      </c>
      <c r="C114" s="9" t="s">
        <v>24</v>
      </c>
      <c r="D114" s="9" t="s">
        <v>81</v>
      </c>
      <c r="E114" s="11" t="s">
        <v>26</v>
      </c>
      <c r="F114" s="70">
        <v>2031.1</v>
      </c>
      <c r="G114" s="70">
        <v>2031.1</v>
      </c>
      <c r="H114" s="70">
        <v>2031.1</v>
      </c>
    </row>
    <row r="115" spans="1:8" ht="54.75" customHeight="1" x14ac:dyDescent="0.2">
      <c r="A115" s="15" t="s">
        <v>97</v>
      </c>
      <c r="B115" s="15" t="s">
        <v>13</v>
      </c>
      <c r="C115" s="9"/>
      <c r="D115" s="9"/>
      <c r="E115" s="21" t="s">
        <v>98</v>
      </c>
      <c r="F115" s="70">
        <f t="shared" ref="F115:H116" si="23">F116</f>
        <v>6507.2999999999993</v>
      </c>
      <c r="G115" s="70">
        <f t="shared" si="23"/>
        <v>6606.1</v>
      </c>
      <c r="H115" s="70">
        <f t="shared" si="23"/>
        <v>6725.6</v>
      </c>
    </row>
    <row r="116" spans="1:8" ht="42" customHeight="1" x14ac:dyDescent="0.2">
      <c r="A116" s="15" t="s">
        <v>97</v>
      </c>
      <c r="B116" s="15" t="s">
        <v>21</v>
      </c>
      <c r="C116" s="9"/>
      <c r="D116" s="9"/>
      <c r="E116" s="22" t="s">
        <v>22</v>
      </c>
      <c r="F116" s="70">
        <f t="shared" si="23"/>
        <v>6507.2999999999993</v>
      </c>
      <c r="G116" s="70">
        <f t="shared" si="23"/>
        <v>6606.1</v>
      </c>
      <c r="H116" s="70">
        <f t="shared" si="23"/>
        <v>6725.6</v>
      </c>
    </row>
    <row r="117" spans="1:8" ht="23.25" customHeight="1" x14ac:dyDescent="0.2">
      <c r="A117" s="15" t="s">
        <v>97</v>
      </c>
      <c r="B117" s="15" t="s">
        <v>23</v>
      </c>
      <c r="C117" s="9" t="s">
        <v>24</v>
      </c>
      <c r="D117" s="9" t="s">
        <v>81</v>
      </c>
      <c r="E117" s="21" t="s">
        <v>26</v>
      </c>
      <c r="F117" s="66">
        <f>6756.9-269.1+19.5</f>
        <v>6507.2999999999993</v>
      </c>
      <c r="G117" s="66">
        <f>6549.1+57</f>
        <v>6606.1</v>
      </c>
      <c r="H117" s="66">
        <f>6549.1+176.5</f>
        <v>6725.6</v>
      </c>
    </row>
    <row r="118" spans="1:8" ht="98.25" customHeight="1" x14ac:dyDescent="0.2">
      <c r="A118" s="15" t="s">
        <v>99</v>
      </c>
      <c r="B118" s="15" t="s">
        <v>13</v>
      </c>
      <c r="C118" s="9"/>
      <c r="D118" s="9"/>
      <c r="E118" s="63" t="s">
        <v>826</v>
      </c>
      <c r="F118" s="66">
        <f t="shared" ref="F118:H119" si="24">F119</f>
        <v>52965.4</v>
      </c>
      <c r="G118" s="66">
        <f t="shared" si="24"/>
        <v>52965.4</v>
      </c>
      <c r="H118" s="66">
        <f t="shared" si="24"/>
        <v>52965.4</v>
      </c>
    </row>
    <row r="119" spans="1:8" ht="38.1" customHeight="1" x14ac:dyDescent="0.2">
      <c r="A119" s="15" t="s">
        <v>99</v>
      </c>
      <c r="B119" s="15" t="s">
        <v>21</v>
      </c>
      <c r="C119" s="9"/>
      <c r="D119" s="9"/>
      <c r="E119" s="20" t="s">
        <v>22</v>
      </c>
      <c r="F119" s="66">
        <f t="shared" si="24"/>
        <v>52965.4</v>
      </c>
      <c r="G119" s="66">
        <f t="shared" si="24"/>
        <v>52965.4</v>
      </c>
      <c r="H119" s="66">
        <f t="shared" si="24"/>
        <v>52965.4</v>
      </c>
    </row>
    <row r="120" spans="1:8" ht="23.25" customHeight="1" x14ac:dyDescent="0.2">
      <c r="A120" s="15" t="s">
        <v>99</v>
      </c>
      <c r="B120" s="15" t="s">
        <v>23</v>
      </c>
      <c r="C120" s="9" t="s">
        <v>24</v>
      </c>
      <c r="D120" s="9" t="s">
        <v>81</v>
      </c>
      <c r="E120" s="19" t="s">
        <v>26</v>
      </c>
      <c r="F120" s="66">
        <v>52965.4</v>
      </c>
      <c r="G120" s="66">
        <v>52965.4</v>
      </c>
      <c r="H120" s="66">
        <v>52965.4</v>
      </c>
    </row>
    <row r="121" spans="1:8" ht="51.75" customHeight="1" x14ac:dyDescent="0.2">
      <c r="A121" s="9" t="s">
        <v>100</v>
      </c>
      <c r="B121" s="9" t="s">
        <v>13</v>
      </c>
      <c r="C121" s="9"/>
      <c r="D121" s="9"/>
      <c r="E121" s="12" t="s">
        <v>101</v>
      </c>
      <c r="F121" s="66">
        <f>F164+F125+F128+F131+F134+F137+F140+F143+F146+F149+F152+F155+F158+F161+F169+F122+F172+F175</f>
        <v>152948.60022999995</v>
      </c>
      <c r="G121" s="66">
        <f>G164+G125+G128+G131+G134+G137+G140+G143+G146+G149+G152+G155+G169+G122+G172+G175</f>
        <v>278181.81999999995</v>
      </c>
      <c r="H121" s="66">
        <f>H164+H125+H128+H131+H134+H137+H140+H143+H146+H149+H152+H155+H169+H122+H172+H175</f>
        <v>64399.8</v>
      </c>
    </row>
    <row r="122" spans="1:8" ht="39" customHeight="1" x14ac:dyDescent="0.2">
      <c r="A122" s="9" t="s">
        <v>102</v>
      </c>
      <c r="B122" s="9" t="s">
        <v>13</v>
      </c>
      <c r="C122" s="9"/>
      <c r="D122" s="9"/>
      <c r="E122" s="12" t="s">
        <v>103</v>
      </c>
      <c r="F122" s="66">
        <f>F123</f>
        <v>10486.8</v>
      </c>
      <c r="G122" s="69">
        <v>0</v>
      </c>
      <c r="H122" s="69">
        <v>0</v>
      </c>
    </row>
    <row r="123" spans="1:8" ht="39" customHeight="1" x14ac:dyDescent="0.2">
      <c r="A123" s="9" t="s">
        <v>102</v>
      </c>
      <c r="B123" s="9" t="s">
        <v>61</v>
      </c>
      <c r="C123" s="9"/>
      <c r="D123" s="9"/>
      <c r="E123" s="12" t="s">
        <v>62</v>
      </c>
      <c r="F123" s="66">
        <f>F124</f>
        <v>10486.8</v>
      </c>
      <c r="G123" s="69">
        <v>0</v>
      </c>
      <c r="H123" s="69">
        <v>0</v>
      </c>
    </row>
    <row r="124" spans="1:8" ht="39.950000000000003" customHeight="1" x14ac:dyDescent="0.2">
      <c r="A124" s="9" t="s">
        <v>102</v>
      </c>
      <c r="B124" s="9" t="s">
        <v>63</v>
      </c>
      <c r="C124" s="9" t="s">
        <v>64</v>
      </c>
      <c r="D124" s="9" t="s">
        <v>81</v>
      </c>
      <c r="E124" s="10" t="s">
        <v>65</v>
      </c>
      <c r="F124" s="77">
        <f>12640.8-1931.1-222.9</f>
        <v>10486.8</v>
      </c>
      <c r="G124" s="69">
        <v>0</v>
      </c>
      <c r="H124" s="69">
        <v>0</v>
      </c>
    </row>
    <row r="125" spans="1:8" ht="69" customHeight="1" x14ac:dyDescent="0.2">
      <c r="A125" s="15" t="s">
        <v>104</v>
      </c>
      <c r="B125" s="15" t="s">
        <v>13</v>
      </c>
      <c r="C125" s="9"/>
      <c r="D125" s="9"/>
      <c r="E125" s="22" t="s">
        <v>105</v>
      </c>
      <c r="F125" s="66">
        <f>F126</f>
        <v>770</v>
      </c>
      <c r="G125" s="66">
        <f>G126</f>
        <v>0</v>
      </c>
      <c r="H125" s="66">
        <f>H126</f>
        <v>0</v>
      </c>
    </row>
    <row r="126" spans="1:8" ht="39.950000000000003" customHeight="1" x14ac:dyDescent="0.2">
      <c r="A126" s="15" t="s">
        <v>104</v>
      </c>
      <c r="B126" s="15" t="s">
        <v>21</v>
      </c>
      <c r="C126" s="9"/>
      <c r="D126" s="9"/>
      <c r="E126" s="22" t="s">
        <v>22</v>
      </c>
      <c r="F126" s="66">
        <f>F127</f>
        <v>770</v>
      </c>
      <c r="G126" s="66">
        <v>0</v>
      </c>
      <c r="H126" s="66">
        <v>0</v>
      </c>
    </row>
    <row r="127" spans="1:8" ht="26.1" customHeight="1" x14ac:dyDescent="0.2">
      <c r="A127" s="15" t="s">
        <v>104</v>
      </c>
      <c r="B127" s="15" t="s">
        <v>23</v>
      </c>
      <c r="C127" s="9" t="s">
        <v>64</v>
      </c>
      <c r="D127" s="9" t="s">
        <v>106</v>
      </c>
      <c r="E127" s="21" t="s">
        <v>26</v>
      </c>
      <c r="F127" s="66">
        <v>770</v>
      </c>
      <c r="G127" s="66">
        <v>0</v>
      </c>
      <c r="H127" s="66">
        <v>0</v>
      </c>
    </row>
    <row r="128" spans="1:8" ht="63.95" customHeight="1" x14ac:dyDescent="0.2">
      <c r="A128" s="15" t="s">
        <v>107</v>
      </c>
      <c r="B128" s="15" t="s">
        <v>13</v>
      </c>
      <c r="C128" s="9"/>
      <c r="D128" s="9"/>
      <c r="E128" s="19" t="s">
        <v>108</v>
      </c>
      <c r="F128" s="66">
        <f t="shared" ref="F128:H129" si="25">F129</f>
        <v>1486.9888800000001</v>
      </c>
      <c r="G128" s="66">
        <f t="shared" si="25"/>
        <v>0</v>
      </c>
      <c r="H128" s="66">
        <f t="shared" si="25"/>
        <v>0</v>
      </c>
    </row>
    <row r="129" spans="1:8" ht="36.950000000000003" customHeight="1" x14ac:dyDescent="0.2">
      <c r="A129" s="15" t="s">
        <v>107</v>
      </c>
      <c r="B129" s="15" t="s">
        <v>21</v>
      </c>
      <c r="C129" s="9"/>
      <c r="D129" s="9"/>
      <c r="E129" s="20" t="s">
        <v>22</v>
      </c>
      <c r="F129" s="66">
        <f t="shared" si="25"/>
        <v>1486.9888800000001</v>
      </c>
      <c r="G129" s="66">
        <f t="shared" si="25"/>
        <v>0</v>
      </c>
      <c r="H129" s="66">
        <f t="shared" si="25"/>
        <v>0</v>
      </c>
    </row>
    <row r="130" spans="1:8" ht="29.1" customHeight="1" x14ac:dyDescent="0.2">
      <c r="A130" s="15" t="s">
        <v>107</v>
      </c>
      <c r="B130" s="15" t="s">
        <v>23</v>
      </c>
      <c r="C130" s="9" t="s">
        <v>64</v>
      </c>
      <c r="D130" s="9" t="s">
        <v>81</v>
      </c>
      <c r="E130" s="19" t="s">
        <v>26</v>
      </c>
      <c r="F130" s="77">
        <f>1490.91-3.92112</f>
        <v>1486.9888800000001</v>
      </c>
      <c r="G130" s="66">
        <v>0</v>
      </c>
      <c r="H130" s="66">
        <v>0</v>
      </c>
    </row>
    <row r="131" spans="1:8" ht="66.95" customHeight="1" x14ac:dyDescent="0.2">
      <c r="A131" s="15" t="s">
        <v>109</v>
      </c>
      <c r="B131" s="15" t="s">
        <v>13</v>
      </c>
      <c r="C131" s="9"/>
      <c r="D131" s="9"/>
      <c r="E131" s="19" t="s">
        <v>108</v>
      </c>
      <c r="F131" s="66">
        <f t="shared" ref="F131:H132" si="26">F132</f>
        <v>285.56605000000002</v>
      </c>
      <c r="G131" s="66">
        <f t="shared" si="26"/>
        <v>0</v>
      </c>
      <c r="H131" s="66">
        <f t="shared" si="26"/>
        <v>0</v>
      </c>
    </row>
    <row r="132" spans="1:8" ht="39.950000000000003" customHeight="1" x14ac:dyDescent="0.2">
      <c r="A132" s="15" t="s">
        <v>109</v>
      </c>
      <c r="B132" s="15" t="s">
        <v>21</v>
      </c>
      <c r="C132" s="9"/>
      <c r="D132" s="9"/>
      <c r="E132" s="20" t="s">
        <v>22</v>
      </c>
      <c r="F132" s="66">
        <f t="shared" si="26"/>
        <v>285.56605000000002</v>
      </c>
      <c r="G132" s="66">
        <f t="shared" si="26"/>
        <v>0</v>
      </c>
      <c r="H132" s="66">
        <f t="shared" si="26"/>
        <v>0</v>
      </c>
    </row>
    <row r="133" spans="1:8" ht="30" customHeight="1" x14ac:dyDescent="0.2">
      <c r="A133" s="15" t="s">
        <v>109</v>
      </c>
      <c r="B133" s="15" t="s">
        <v>23</v>
      </c>
      <c r="C133" s="9" t="s">
        <v>64</v>
      </c>
      <c r="D133" s="9" t="s">
        <v>81</v>
      </c>
      <c r="E133" s="19" t="s">
        <v>26</v>
      </c>
      <c r="F133" s="77">
        <f>286-0.43395</f>
        <v>285.56605000000002</v>
      </c>
      <c r="G133" s="66">
        <v>0</v>
      </c>
      <c r="H133" s="66">
        <v>0</v>
      </c>
    </row>
    <row r="134" spans="1:8" ht="68.099999999999994" customHeight="1" x14ac:dyDescent="0.2">
      <c r="A134" s="15" t="s">
        <v>110</v>
      </c>
      <c r="B134" s="15" t="s">
        <v>13</v>
      </c>
      <c r="C134" s="9"/>
      <c r="D134" s="9"/>
      <c r="E134" s="19" t="s">
        <v>111</v>
      </c>
      <c r="F134" s="66">
        <f t="shared" ref="F134:H135" si="27">F135</f>
        <v>2117.0326599999999</v>
      </c>
      <c r="G134" s="66">
        <f t="shared" si="27"/>
        <v>0</v>
      </c>
      <c r="H134" s="66">
        <f t="shared" si="27"/>
        <v>0</v>
      </c>
    </row>
    <row r="135" spans="1:8" ht="39.950000000000003" customHeight="1" x14ac:dyDescent="0.2">
      <c r="A135" s="15" t="s">
        <v>110</v>
      </c>
      <c r="B135" s="15" t="s">
        <v>21</v>
      </c>
      <c r="C135" s="9"/>
      <c r="D135" s="9"/>
      <c r="E135" s="20" t="s">
        <v>22</v>
      </c>
      <c r="F135" s="66">
        <f t="shared" si="27"/>
        <v>2117.0326599999999</v>
      </c>
      <c r="G135" s="66">
        <f t="shared" si="27"/>
        <v>0</v>
      </c>
      <c r="H135" s="66">
        <f t="shared" si="27"/>
        <v>0</v>
      </c>
    </row>
    <row r="136" spans="1:8" ht="30.95" customHeight="1" x14ac:dyDescent="0.2">
      <c r="A136" s="15" t="s">
        <v>110</v>
      </c>
      <c r="B136" s="15" t="s">
        <v>23</v>
      </c>
      <c r="C136" s="9" t="s">
        <v>64</v>
      </c>
      <c r="D136" s="9" t="s">
        <v>81</v>
      </c>
      <c r="E136" s="19" t="s">
        <v>26</v>
      </c>
      <c r="F136" s="77">
        <f>2631.48-514.44734</f>
        <v>2117.0326599999999</v>
      </c>
      <c r="G136" s="66">
        <v>0</v>
      </c>
      <c r="H136" s="66">
        <v>0</v>
      </c>
    </row>
    <row r="137" spans="1:8" ht="71.099999999999994" customHeight="1" x14ac:dyDescent="0.2">
      <c r="A137" s="15" t="s">
        <v>112</v>
      </c>
      <c r="B137" s="15" t="s">
        <v>13</v>
      </c>
      <c r="C137" s="9"/>
      <c r="D137" s="9"/>
      <c r="E137" s="19" t="s">
        <v>111</v>
      </c>
      <c r="F137" s="66">
        <f t="shared" ref="F137:H138" si="28">F138</f>
        <v>475.42516999999998</v>
      </c>
      <c r="G137" s="66">
        <f t="shared" si="28"/>
        <v>0</v>
      </c>
      <c r="H137" s="66">
        <f t="shared" si="28"/>
        <v>0</v>
      </c>
    </row>
    <row r="138" spans="1:8" ht="38.1" customHeight="1" x14ac:dyDescent="0.2">
      <c r="A138" s="15" t="s">
        <v>112</v>
      </c>
      <c r="B138" s="15" t="s">
        <v>21</v>
      </c>
      <c r="C138" s="9"/>
      <c r="D138" s="9"/>
      <c r="E138" s="20" t="s">
        <v>22</v>
      </c>
      <c r="F138" s="66">
        <f t="shared" si="28"/>
        <v>475.42516999999998</v>
      </c>
      <c r="G138" s="66">
        <f t="shared" si="28"/>
        <v>0</v>
      </c>
      <c r="H138" s="66">
        <f t="shared" si="28"/>
        <v>0</v>
      </c>
    </row>
    <row r="139" spans="1:8" ht="32.1" customHeight="1" x14ac:dyDescent="0.2">
      <c r="A139" s="15" t="s">
        <v>112</v>
      </c>
      <c r="B139" s="15" t="s">
        <v>23</v>
      </c>
      <c r="C139" s="9" t="s">
        <v>64</v>
      </c>
      <c r="D139" s="9" t="s">
        <v>81</v>
      </c>
      <c r="E139" s="19" t="s">
        <v>26</v>
      </c>
      <c r="F139" s="77">
        <f>567.87-92.44483</f>
        <v>475.42516999999998</v>
      </c>
      <c r="G139" s="66">
        <v>0</v>
      </c>
      <c r="H139" s="66">
        <v>0</v>
      </c>
    </row>
    <row r="140" spans="1:8" ht="69" customHeight="1" x14ac:dyDescent="0.2">
      <c r="A140" s="15" t="s">
        <v>113</v>
      </c>
      <c r="B140" s="15" t="s">
        <v>13</v>
      </c>
      <c r="C140" s="9"/>
      <c r="D140" s="9"/>
      <c r="E140" s="19" t="s">
        <v>114</v>
      </c>
      <c r="F140" s="66">
        <f t="shared" ref="F140:H141" si="29">F141</f>
        <v>511.19308999999998</v>
      </c>
      <c r="G140" s="66">
        <f t="shared" si="29"/>
        <v>0</v>
      </c>
      <c r="H140" s="66">
        <f t="shared" si="29"/>
        <v>0</v>
      </c>
    </row>
    <row r="141" spans="1:8" ht="39.950000000000003" customHeight="1" x14ac:dyDescent="0.2">
      <c r="A141" s="15" t="s">
        <v>113</v>
      </c>
      <c r="B141" s="15" t="s">
        <v>21</v>
      </c>
      <c r="C141" s="9"/>
      <c r="D141" s="9"/>
      <c r="E141" s="20" t="s">
        <v>22</v>
      </c>
      <c r="F141" s="66">
        <f t="shared" si="29"/>
        <v>511.19308999999998</v>
      </c>
      <c r="G141" s="66">
        <f t="shared" si="29"/>
        <v>0</v>
      </c>
      <c r="H141" s="66">
        <f t="shared" si="29"/>
        <v>0</v>
      </c>
    </row>
    <row r="142" spans="1:8" ht="24.95" customHeight="1" x14ac:dyDescent="0.2">
      <c r="A142" s="15" t="s">
        <v>113</v>
      </c>
      <c r="B142" s="15" t="s">
        <v>23</v>
      </c>
      <c r="C142" s="9" t="s">
        <v>64</v>
      </c>
      <c r="D142" s="9" t="s">
        <v>81</v>
      </c>
      <c r="E142" s="19" t="s">
        <v>26</v>
      </c>
      <c r="F142" s="77">
        <f>571.36-60.16691</f>
        <v>511.19308999999998</v>
      </c>
      <c r="G142" s="66">
        <v>0</v>
      </c>
      <c r="H142" s="66">
        <v>0</v>
      </c>
    </row>
    <row r="143" spans="1:8" ht="69" customHeight="1" x14ac:dyDescent="0.2">
      <c r="A143" s="15" t="s">
        <v>115</v>
      </c>
      <c r="B143" s="15" t="s">
        <v>13</v>
      </c>
      <c r="C143" s="9"/>
      <c r="D143" s="9"/>
      <c r="E143" s="19" t="s">
        <v>114</v>
      </c>
      <c r="F143" s="66">
        <f t="shared" ref="F143:H144" si="30">F144</f>
        <v>108.10214999999999</v>
      </c>
      <c r="G143" s="66">
        <f t="shared" si="30"/>
        <v>0</v>
      </c>
      <c r="H143" s="66">
        <f t="shared" si="30"/>
        <v>0</v>
      </c>
    </row>
    <row r="144" spans="1:8" ht="35.1" customHeight="1" x14ac:dyDescent="0.2">
      <c r="A144" s="15" t="s">
        <v>115</v>
      </c>
      <c r="B144" s="15" t="s">
        <v>21</v>
      </c>
      <c r="C144" s="9"/>
      <c r="D144" s="9"/>
      <c r="E144" s="20" t="s">
        <v>22</v>
      </c>
      <c r="F144" s="66">
        <f t="shared" si="30"/>
        <v>108.10214999999999</v>
      </c>
      <c r="G144" s="66">
        <f t="shared" si="30"/>
        <v>0</v>
      </c>
      <c r="H144" s="66">
        <f t="shared" si="30"/>
        <v>0</v>
      </c>
    </row>
    <row r="145" spans="1:8" ht="27" customHeight="1" x14ac:dyDescent="0.2">
      <c r="A145" s="15" t="s">
        <v>115</v>
      </c>
      <c r="B145" s="15" t="s">
        <v>23</v>
      </c>
      <c r="C145" s="9" t="s">
        <v>64</v>
      </c>
      <c r="D145" s="9" t="s">
        <v>81</v>
      </c>
      <c r="E145" s="19" t="s">
        <v>26</v>
      </c>
      <c r="F145" s="77">
        <f>116-7.89785</f>
        <v>108.10214999999999</v>
      </c>
      <c r="G145" s="66">
        <v>0</v>
      </c>
      <c r="H145" s="66">
        <v>0</v>
      </c>
    </row>
    <row r="146" spans="1:8" ht="69" customHeight="1" x14ac:dyDescent="0.2">
      <c r="A146" s="15" t="s">
        <v>116</v>
      </c>
      <c r="B146" s="15" t="s">
        <v>13</v>
      </c>
      <c r="C146" s="9"/>
      <c r="D146" s="9"/>
      <c r="E146" s="19" t="s">
        <v>117</v>
      </c>
      <c r="F146" s="66">
        <f t="shared" ref="F146:H147" si="31">F147</f>
        <v>1480.83592</v>
      </c>
      <c r="G146" s="66">
        <f t="shared" si="31"/>
        <v>0</v>
      </c>
      <c r="H146" s="66">
        <f t="shared" si="31"/>
        <v>0</v>
      </c>
    </row>
    <row r="147" spans="1:8" ht="35.1" customHeight="1" x14ac:dyDescent="0.2">
      <c r="A147" s="15" t="s">
        <v>116</v>
      </c>
      <c r="B147" s="15" t="s">
        <v>21</v>
      </c>
      <c r="C147" s="9"/>
      <c r="D147" s="9"/>
      <c r="E147" s="20" t="s">
        <v>22</v>
      </c>
      <c r="F147" s="66">
        <f t="shared" si="31"/>
        <v>1480.83592</v>
      </c>
      <c r="G147" s="66">
        <f t="shared" si="31"/>
        <v>0</v>
      </c>
      <c r="H147" s="66">
        <f t="shared" si="31"/>
        <v>0</v>
      </c>
    </row>
    <row r="148" spans="1:8" ht="29.1" customHeight="1" x14ac:dyDescent="0.2">
      <c r="A148" s="15" t="s">
        <v>116</v>
      </c>
      <c r="B148" s="15" t="s">
        <v>23</v>
      </c>
      <c r="C148" s="9" t="s">
        <v>64</v>
      </c>
      <c r="D148" s="9" t="s">
        <v>81</v>
      </c>
      <c r="E148" s="19" t="s">
        <v>26</v>
      </c>
      <c r="F148" s="77">
        <f>1492.12-11.28408</f>
        <v>1480.83592</v>
      </c>
      <c r="G148" s="66">
        <v>0</v>
      </c>
      <c r="H148" s="66">
        <v>0</v>
      </c>
    </row>
    <row r="149" spans="1:8" ht="57.75" customHeight="1" x14ac:dyDescent="0.2">
      <c r="A149" s="15" t="s">
        <v>118</v>
      </c>
      <c r="B149" s="15" t="s">
        <v>13</v>
      </c>
      <c r="C149" s="9"/>
      <c r="D149" s="9"/>
      <c r="E149" s="19" t="s">
        <v>117</v>
      </c>
      <c r="F149" s="66">
        <f t="shared" ref="F149:H150" si="32">F150</f>
        <v>283.44970000000001</v>
      </c>
      <c r="G149" s="66">
        <f t="shared" si="32"/>
        <v>0</v>
      </c>
      <c r="H149" s="66">
        <f t="shared" si="32"/>
        <v>0</v>
      </c>
    </row>
    <row r="150" spans="1:8" ht="35.1" customHeight="1" x14ac:dyDescent="0.2">
      <c r="A150" s="15" t="s">
        <v>118</v>
      </c>
      <c r="B150" s="15" t="s">
        <v>21</v>
      </c>
      <c r="C150" s="9"/>
      <c r="D150" s="9"/>
      <c r="E150" s="20" t="s">
        <v>22</v>
      </c>
      <c r="F150" s="66">
        <f t="shared" si="32"/>
        <v>283.44970000000001</v>
      </c>
      <c r="G150" s="66">
        <f t="shared" si="32"/>
        <v>0</v>
      </c>
      <c r="H150" s="66">
        <f t="shared" si="32"/>
        <v>0</v>
      </c>
    </row>
    <row r="151" spans="1:8" ht="30" customHeight="1" x14ac:dyDescent="0.2">
      <c r="A151" s="15" t="s">
        <v>118</v>
      </c>
      <c r="B151" s="15" t="s">
        <v>23</v>
      </c>
      <c r="C151" s="9" t="s">
        <v>64</v>
      </c>
      <c r="D151" s="9" t="s">
        <v>81</v>
      </c>
      <c r="E151" s="19" t="s">
        <v>26</v>
      </c>
      <c r="F151" s="77">
        <f>285-1.5503</f>
        <v>283.44970000000001</v>
      </c>
      <c r="G151" s="66">
        <v>0</v>
      </c>
      <c r="H151" s="66">
        <v>0</v>
      </c>
    </row>
    <row r="152" spans="1:8" ht="61.5" customHeight="1" x14ac:dyDescent="0.2">
      <c r="A152" s="15" t="s">
        <v>119</v>
      </c>
      <c r="B152" s="15" t="s">
        <v>13</v>
      </c>
      <c r="C152" s="9"/>
      <c r="D152" s="9"/>
      <c r="E152" s="19" t="s">
        <v>120</v>
      </c>
      <c r="F152" s="66">
        <f t="shared" ref="F152:H153" si="33">F153</f>
        <v>2658.3763799999997</v>
      </c>
      <c r="G152" s="66">
        <f t="shared" si="33"/>
        <v>0</v>
      </c>
      <c r="H152" s="66">
        <f t="shared" si="33"/>
        <v>0</v>
      </c>
    </row>
    <row r="153" spans="1:8" ht="39.950000000000003" customHeight="1" x14ac:dyDescent="0.2">
      <c r="A153" s="15" t="s">
        <v>119</v>
      </c>
      <c r="B153" s="15" t="s">
        <v>21</v>
      </c>
      <c r="C153" s="9"/>
      <c r="D153" s="9"/>
      <c r="E153" s="20" t="s">
        <v>22</v>
      </c>
      <c r="F153" s="66">
        <f t="shared" si="33"/>
        <v>2658.3763799999997</v>
      </c>
      <c r="G153" s="66">
        <f t="shared" si="33"/>
        <v>0</v>
      </c>
      <c r="H153" s="66">
        <f t="shared" si="33"/>
        <v>0</v>
      </c>
    </row>
    <row r="154" spans="1:8" ht="32.1" customHeight="1" x14ac:dyDescent="0.2">
      <c r="A154" s="15" t="s">
        <v>119</v>
      </c>
      <c r="B154" s="15" t="s">
        <v>23</v>
      </c>
      <c r="C154" s="9" t="s">
        <v>64</v>
      </c>
      <c r="D154" s="9" t="s">
        <v>81</v>
      </c>
      <c r="E154" s="19" t="s">
        <v>26</v>
      </c>
      <c r="F154" s="77">
        <f>2710.72-52.34362</f>
        <v>2658.3763799999997</v>
      </c>
      <c r="G154" s="66">
        <v>0</v>
      </c>
      <c r="H154" s="66">
        <v>0</v>
      </c>
    </row>
    <row r="155" spans="1:8" ht="57" customHeight="1" x14ac:dyDescent="0.2">
      <c r="A155" s="15" t="s">
        <v>121</v>
      </c>
      <c r="B155" s="15" t="s">
        <v>13</v>
      </c>
      <c r="C155" s="9"/>
      <c r="D155" s="9"/>
      <c r="E155" s="19" t="s">
        <v>120</v>
      </c>
      <c r="F155" s="66">
        <f t="shared" ref="F155:H156" si="34">F156</f>
        <v>622.11049000000003</v>
      </c>
      <c r="G155" s="66">
        <f t="shared" si="34"/>
        <v>0</v>
      </c>
      <c r="H155" s="66">
        <f t="shared" si="34"/>
        <v>0</v>
      </c>
    </row>
    <row r="156" spans="1:8" ht="39.950000000000003" customHeight="1" x14ac:dyDescent="0.2">
      <c r="A156" s="15" t="s">
        <v>121</v>
      </c>
      <c r="B156" s="15" t="s">
        <v>21</v>
      </c>
      <c r="C156" s="9"/>
      <c r="D156" s="9"/>
      <c r="E156" s="20" t="s">
        <v>22</v>
      </c>
      <c r="F156" s="66">
        <f t="shared" si="34"/>
        <v>622.11049000000003</v>
      </c>
      <c r="G156" s="66">
        <f t="shared" si="34"/>
        <v>0</v>
      </c>
      <c r="H156" s="66">
        <f t="shared" si="34"/>
        <v>0</v>
      </c>
    </row>
    <row r="157" spans="1:8" ht="29.1" customHeight="1" x14ac:dyDescent="0.2">
      <c r="A157" s="15" t="s">
        <v>121</v>
      </c>
      <c r="B157" s="15" t="s">
        <v>23</v>
      </c>
      <c r="C157" s="9" t="s">
        <v>64</v>
      </c>
      <c r="D157" s="9" t="s">
        <v>81</v>
      </c>
      <c r="E157" s="19" t="s">
        <v>26</v>
      </c>
      <c r="F157" s="77">
        <f>628-5.88951</f>
        <v>622.11049000000003</v>
      </c>
      <c r="G157" s="66">
        <v>0</v>
      </c>
      <c r="H157" s="66">
        <v>0</v>
      </c>
    </row>
    <row r="158" spans="1:8" ht="53.25" customHeight="1" x14ac:dyDescent="0.2">
      <c r="A158" s="78" t="s">
        <v>835</v>
      </c>
      <c r="B158" s="78" t="s">
        <v>13</v>
      </c>
      <c r="C158" s="64"/>
      <c r="D158" s="64"/>
      <c r="E158" s="79" t="s">
        <v>834</v>
      </c>
      <c r="F158" s="77">
        <f t="shared" ref="F158:H162" si="35">F159</f>
        <v>559.54999999999995</v>
      </c>
      <c r="G158" s="77">
        <f t="shared" si="35"/>
        <v>0</v>
      </c>
      <c r="H158" s="77">
        <f t="shared" si="35"/>
        <v>0</v>
      </c>
    </row>
    <row r="159" spans="1:8" ht="39" customHeight="1" x14ac:dyDescent="0.2">
      <c r="A159" s="78" t="s">
        <v>835</v>
      </c>
      <c r="B159" s="78" t="s">
        <v>21</v>
      </c>
      <c r="C159" s="64"/>
      <c r="D159" s="64"/>
      <c r="E159" s="80" t="s">
        <v>22</v>
      </c>
      <c r="F159" s="77">
        <f t="shared" si="35"/>
        <v>559.54999999999995</v>
      </c>
      <c r="G159" s="77">
        <f t="shared" si="35"/>
        <v>0</v>
      </c>
      <c r="H159" s="77">
        <f t="shared" si="35"/>
        <v>0</v>
      </c>
    </row>
    <row r="160" spans="1:8" ht="29.1" customHeight="1" x14ac:dyDescent="0.2">
      <c r="A160" s="78" t="s">
        <v>835</v>
      </c>
      <c r="B160" s="78" t="s">
        <v>23</v>
      </c>
      <c r="C160" s="9" t="s">
        <v>64</v>
      </c>
      <c r="D160" s="9" t="s">
        <v>81</v>
      </c>
      <c r="E160" s="79" t="s">
        <v>26</v>
      </c>
      <c r="F160" s="77">
        <v>559.54999999999995</v>
      </c>
      <c r="G160" s="77">
        <v>0</v>
      </c>
      <c r="H160" s="77">
        <v>0</v>
      </c>
    </row>
    <row r="161" spans="1:11" ht="57" customHeight="1" x14ac:dyDescent="0.2">
      <c r="A161" s="78" t="s">
        <v>836</v>
      </c>
      <c r="B161" s="78" t="s">
        <v>13</v>
      </c>
      <c r="C161" s="64"/>
      <c r="D161" s="64"/>
      <c r="E161" s="79" t="s">
        <v>834</v>
      </c>
      <c r="F161" s="77">
        <f t="shared" si="35"/>
        <v>136.41023999999999</v>
      </c>
      <c r="G161" s="77">
        <f t="shared" si="35"/>
        <v>0</v>
      </c>
      <c r="H161" s="77">
        <f t="shared" si="35"/>
        <v>0</v>
      </c>
    </row>
    <row r="162" spans="1:11" ht="35.25" customHeight="1" x14ac:dyDescent="0.2">
      <c r="A162" s="78" t="s">
        <v>836</v>
      </c>
      <c r="B162" s="78" t="s">
        <v>21</v>
      </c>
      <c r="C162" s="64"/>
      <c r="D162" s="64"/>
      <c r="E162" s="80" t="s">
        <v>22</v>
      </c>
      <c r="F162" s="77">
        <f t="shared" si="35"/>
        <v>136.41023999999999</v>
      </c>
      <c r="G162" s="77">
        <f t="shared" si="35"/>
        <v>0</v>
      </c>
      <c r="H162" s="77">
        <f t="shared" si="35"/>
        <v>0</v>
      </c>
    </row>
    <row r="163" spans="1:11" ht="29.1" customHeight="1" x14ac:dyDescent="0.2">
      <c r="A163" s="78" t="s">
        <v>836</v>
      </c>
      <c r="B163" s="78" t="s">
        <v>23</v>
      </c>
      <c r="C163" s="9" t="s">
        <v>64</v>
      </c>
      <c r="D163" s="9" t="s">
        <v>81</v>
      </c>
      <c r="E163" s="79" t="s">
        <v>26</v>
      </c>
      <c r="F163" s="77">
        <f>116+20.41024</f>
        <v>136.41023999999999</v>
      </c>
      <c r="G163" s="77">
        <v>0</v>
      </c>
      <c r="H163" s="77">
        <v>0</v>
      </c>
    </row>
    <row r="164" spans="1:11" ht="53.25" customHeight="1" x14ac:dyDescent="0.2">
      <c r="A164" s="9" t="s">
        <v>122</v>
      </c>
      <c r="B164" s="9" t="s">
        <v>13</v>
      </c>
      <c r="C164" s="9"/>
      <c r="D164" s="9"/>
      <c r="E164" s="10" t="s">
        <v>123</v>
      </c>
      <c r="F164" s="69">
        <f>F165+F167</f>
        <v>121875.68874999999</v>
      </c>
      <c r="G164" s="69">
        <f t="shared" ref="G164:H164" si="36">G165+G167</f>
        <v>272122.59999999998</v>
      </c>
      <c r="H164" s="69">
        <f t="shared" si="36"/>
        <v>28684.670000000002</v>
      </c>
    </row>
    <row r="165" spans="1:11" ht="33.950000000000003" customHeight="1" x14ac:dyDescent="0.2">
      <c r="A165" s="15" t="s">
        <v>122</v>
      </c>
      <c r="B165" s="15" t="s">
        <v>61</v>
      </c>
      <c r="C165" s="9"/>
      <c r="D165" s="9"/>
      <c r="E165" s="22" t="s">
        <v>62</v>
      </c>
      <c r="F165" s="66">
        <f t="shared" ref="F165:H165" si="37">F166</f>
        <v>3000</v>
      </c>
      <c r="G165" s="66">
        <f t="shared" si="37"/>
        <v>185015.8</v>
      </c>
      <c r="H165" s="66">
        <f t="shared" si="37"/>
        <v>0</v>
      </c>
    </row>
    <row r="166" spans="1:11" ht="39" customHeight="1" x14ac:dyDescent="0.2">
      <c r="A166" s="15" t="s">
        <v>122</v>
      </c>
      <c r="B166" s="15" t="s">
        <v>63</v>
      </c>
      <c r="C166" s="9" t="s">
        <v>64</v>
      </c>
      <c r="D166" s="9" t="s">
        <v>81</v>
      </c>
      <c r="E166" s="22" t="s">
        <v>65</v>
      </c>
      <c r="F166" s="66">
        <v>3000</v>
      </c>
      <c r="G166" s="69">
        <v>185015.8</v>
      </c>
      <c r="H166" s="69">
        <v>0</v>
      </c>
    </row>
    <row r="167" spans="1:11" ht="36" customHeight="1" x14ac:dyDescent="0.2">
      <c r="A167" s="9" t="s">
        <v>122</v>
      </c>
      <c r="B167" s="9" t="s">
        <v>21</v>
      </c>
      <c r="C167" s="9"/>
      <c r="D167" s="9"/>
      <c r="E167" s="12" t="s">
        <v>22</v>
      </c>
      <c r="F167" s="69">
        <f>F168</f>
        <v>118875.68874999999</v>
      </c>
      <c r="G167" s="69">
        <f>G168</f>
        <v>87106.8</v>
      </c>
      <c r="H167" s="69">
        <f>H168</f>
        <v>28684.670000000002</v>
      </c>
    </row>
    <row r="168" spans="1:11" ht="24.95" customHeight="1" x14ac:dyDescent="0.2">
      <c r="A168" s="14" t="s">
        <v>122</v>
      </c>
      <c r="B168" s="14" t="s">
        <v>23</v>
      </c>
      <c r="C168" s="14" t="s">
        <v>24</v>
      </c>
      <c r="D168" s="14" t="s">
        <v>81</v>
      </c>
      <c r="E168" s="12" t="s">
        <v>26</v>
      </c>
      <c r="F168" s="81">
        <f>98129.1+142.4+16151.04048-700-391.66176+4138.50744-72.7035+519.00609+960</f>
        <v>118875.68874999999</v>
      </c>
      <c r="G168" s="69">
        <f>19685.22+41000+26421.58</f>
        <v>87106.8</v>
      </c>
      <c r="H168" s="69">
        <f>2263.09+26421.58</f>
        <v>28684.670000000002</v>
      </c>
      <c r="K168" s="26"/>
    </row>
    <row r="169" spans="1:11" ht="68.25" customHeight="1" x14ac:dyDescent="0.2">
      <c r="A169" s="9" t="s">
        <v>124</v>
      </c>
      <c r="B169" s="9" t="s">
        <v>13</v>
      </c>
      <c r="C169" s="9"/>
      <c r="D169" s="9"/>
      <c r="E169" s="10" t="s">
        <v>125</v>
      </c>
      <c r="F169" s="66">
        <f t="shared" ref="F169:H170" si="38">F170</f>
        <v>224.2</v>
      </c>
      <c r="G169" s="66">
        <f t="shared" si="38"/>
        <v>0</v>
      </c>
      <c r="H169" s="66">
        <f t="shared" si="38"/>
        <v>0</v>
      </c>
    </row>
    <row r="170" spans="1:11" ht="36" customHeight="1" x14ac:dyDescent="0.2">
      <c r="A170" s="9" t="s">
        <v>124</v>
      </c>
      <c r="B170" s="9" t="s">
        <v>21</v>
      </c>
      <c r="C170" s="9"/>
      <c r="D170" s="9"/>
      <c r="E170" s="12" t="s">
        <v>22</v>
      </c>
      <c r="F170" s="66">
        <f t="shared" si="38"/>
        <v>224.2</v>
      </c>
      <c r="G170" s="66">
        <f t="shared" si="38"/>
        <v>0</v>
      </c>
      <c r="H170" s="66">
        <f t="shared" si="38"/>
        <v>0</v>
      </c>
    </row>
    <row r="171" spans="1:11" ht="24" customHeight="1" x14ac:dyDescent="0.2">
      <c r="A171" s="9" t="s">
        <v>124</v>
      </c>
      <c r="B171" s="9" t="s">
        <v>23</v>
      </c>
      <c r="C171" s="9" t="s">
        <v>24</v>
      </c>
      <c r="D171" s="9" t="s">
        <v>81</v>
      </c>
      <c r="E171" s="12" t="s">
        <v>26</v>
      </c>
      <c r="F171" s="77">
        <f>349.37-125.17</f>
        <v>224.2</v>
      </c>
      <c r="G171" s="66">
        <v>0</v>
      </c>
      <c r="H171" s="66">
        <v>0</v>
      </c>
    </row>
    <row r="172" spans="1:11" ht="54" customHeight="1" x14ac:dyDescent="0.2">
      <c r="A172" s="15" t="s">
        <v>126</v>
      </c>
      <c r="B172" s="15" t="s">
        <v>13</v>
      </c>
      <c r="C172" s="9"/>
      <c r="D172" s="9"/>
      <c r="E172" s="11" t="s">
        <v>127</v>
      </c>
      <c r="F172" s="67">
        <f t="shared" ref="F172:H173" si="39">F173</f>
        <v>5236.0707500000008</v>
      </c>
      <c r="G172" s="66">
        <f t="shared" si="39"/>
        <v>0</v>
      </c>
      <c r="H172" s="66">
        <f t="shared" si="39"/>
        <v>0</v>
      </c>
    </row>
    <row r="173" spans="1:11" ht="33" customHeight="1" x14ac:dyDescent="0.2">
      <c r="A173" s="15" t="s">
        <v>126</v>
      </c>
      <c r="B173" s="15" t="s">
        <v>21</v>
      </c>
      <c r="C173" s="9"/>
      <c r="D173" s="9"/>
      <c r="E173" s="16" t="s">
        <v>22</v>
      </c>
      <c r="F173" s="67">
        <f t="shared" si="39"/>
        <v>5236.0707500000008</v>
      </c>
      <c r="G173" s="66">
        <f t="shared" si="39"/>
        <v>0</v>
      </c>
      <c r="H173" s="66">
        <f t="shared" si="39"/>
        <v>0</v>
      </c>
    </row>
    <row r="174" spans="1:11" ht="24" customHeight="1" x14ac:dyDescent="0.2">
      <c r="A174" s="17" t="s">
        <v>126</v>
      </c>
      <c r="B174" s="17" t="s">
        <v>23</v>
      </c>
      <c r="C174" s="9" t="s">
        <v>24</v>
      </c>
      <c r="D174" s="9" t="s">
        <v>81</v>
      </c>
      <c r="E174" s="11" t="s">
        <v>26</v>
      </c>
      <c r="F174" s="86">
        <f>2000+391.66176+72.7035+1970+801.70549</f>
        <v>5236.0707500000008</v>
      </c>
      <c r="G174" s="66">
        <v>0</v>
      </c>
      <c r="H174" s="66">
        <v>0</v>
      </c>
    </row>
    <row r="175" spans="1:11" ht="50.1" customHeight="1" x14ac:dyDescent="0.2">
      <c r="A175" s="9" t="s">
        <v>128</v>
      </c>
      <c r="B175" s="9" t="s">
        <v>13</v>
      </c>
      <c r="C175" s="9"/>
      <c r="D175" s="9"/>
      <c r="E175" s="12" t="s">
        <v>129</v>
      </c>
      <c r="F175" s="66">
        <f t="shared" ref="F175:H176" si="40">F176</f>
        <v>3630.7999999999993</v>
      </c>
      <c r="G175" s="66">
        <f t="shared" si="40"/>
        <v>6059.2199999999939</v>
      </c>
      <c r="H175" s="66">
        <f t="shared" si="40"/>
        <v>35715.129999999997</v>
      </c>
    </row>
    <row r="176" spans="1:11" ht="36" customHeight="1" x14ac:dyDescent="0.2">
      <c r="A176" s="9" t="s">
        <v>128</v>
      </c>
      <c r="B176" s="9" t="s">
        <v>61</v>
      </c>
      <c r="C176" s="9"/>
      <c r="D176" s="9"/>
      <c r="E176" s="12" t="s">
        <v>62</v>
      </c>
      <c r="F176" s="66">
        <f t="shared" si="40"/>
        <v>3630.7999999999993</v>
      </c>
      <c r="G176" s="66">
        <f t="shared" si="40"/>
        <v>6059.2199999999939</v>
      </c>
      <c r="H176" s="66">
        <f t="shared" si="40"/>
        <v>35715.129999999997</v>
      </c>
    </row>
    <row r="177" spans="1:11" ht="36.950000000000003" customHeight="1" x14ac:dyDescent="0.2">
      <c r="A177" s="9" t="s">
        <v>128</v>
      </c>
      <c r="B177" s="9" t="s">
        <v>63</v>
      </c>
      <c r="C177" s="9" t="s">
        <v>64</v>
      </c>
      <c r="D177" s="9" t="s">
        <v>81</v>
      </c>
      <c r="E177" s="10" t="s">
        <v>65</v>
      </c>
      <c r="F177" s="69">
        <f>37441.29-15000-18810.49</f>
        <v>3630.7999999999993</v>
      </c>
      <c r="G177" s="69">
        <f>37566.2-1912-173.4-26421.58-3000</f>
        <v>6059.2199999999939</v>
      </c>
      <c r="H177" s="69">
        <f>74746.61-11561.5-1048.4-26421.58</f>
        <v>35715.129999999997</v>
      </c>
      <c r="K177" s="26"/>
    </row>
    <row r="178" spans="1:11" ht="42" customHeight="1" x14ac:dyDescent="0.2">
      <c r="A178" s="15" t="s">
        <v>130</v>
      </c>
      <c r="B178" s="15" t="s">
        <v>13</v>
      </c>
      <c r="C178" s="9"/>
      <c r="D178" s="9"/>
      <c r="E178" s="21" t="s">
        <v>131</v>
      </c>
      <c r="F178" s="66">
        <f>F182</f>
        <v>0</v>
      </c>
      <c r="G178" s="66">
        <f>G179+G182+G185+G188</f>
        <v>20854.2</v>
      </c>
      <c r="H178" s="66">
        <f>H179+H182+H185+H188</f>
        <v>126098.79999999999</v>
      </c>
      <c r="K178" s="26"/>
    </row>
    <row r="179" spans="1:11" ht="36.950000000000003" customHeight="1" x14ac:dyDescent="0.2">
      <c r="A179" s="24" t="s">
        <v>132</v>
      </c>
      <c r="B179" s="15" t="s">
        <v>13</v>
      </c>
      <c r="C179" s="9"/>
      <c r="D179" s="9"/>
      <c r="E179" s="21" t="s">
        <v>133</v>
      </c>
      <c r="F179" s="66">
        <f t="shared" ref="F179:H180" si="41">F180</f>
        <v>0</v>
      </c>
      <c r="G179" s="66">
        <f t="shared" si="41"/>
        <v>17208.3</v>
      </c>
      <c r="H179" s="66">
        <f t="shared" si="41"/>
        <v>104053.5</v>
      </c>
      <c r="K179" s="26"/>
    </row>
    <row r="180" spans="1:11" ht="36.950000000000003" customHeight="1" x14ac:dyDescent="0.2">
      <c r="A180" s="24" t="s">
        <v>132</v>
      </c>
      <c r="B180" s="15" t="s">
        <v>61</v>
      </c>
      <c r="C180" s="9"/>
      <c r="D180" s="9"/>
      <c r="E180" s="22" t="s">
        <v>62</v>
      </c>
      <c r="F180" s="66">
        <f t="shared" si="41"/>
        <v>0</v>
      </c>
      <c r="G180" s="66">
        <f t="shared" si="41"/>
        <v>17208.3</v>
      </c>
      <c r="H180" s="66">
        <f t="shared" si="41"/>
        <v>104053.5</v>
      </c>
      <c r="K180" s="26"/>
    </row>
    <row r="181" spans="1:11" ht="36.950000000000003" customHeight="1" x14ac:dyDescent="0.2">
      <c r="A181" s="24" t="s">
        <v>132</v>
      </c>
      <c r="B181" s="15" t="s">
        <v>63</v>
      </c>
      <c r="C181" s="9" t="s">
        <v>64</v>
      </c>
      <c r="D181" s="9" t="s">
        <v>81</v>
      </c>
      <c r="E181" s="22" t="s">
        <v>65</v>
      </c>
      <c r="F181" s="69">
        <v>0</v>
      </c>
      <c r="G181" s="69">
        <v>17208.3</v>
      </c>
      <c r="H181" s="69">
        <v>104053.5</v>
      </c>
      <c r="K181" s="26"/>
    </row>
    <row r="182" spans="1:11" ht="36.950000000000003" customHeight="1" x14ac:dyDescent="0.2">
      <c r="A182" s="24" t="s">
        <v>132</v>
      </c>
      <c r="B182" s="15" t="s">
        <v>13</v>
      </c>
      <c r="C182" s="9"/>
      <c r="D182" s="9"/>
      <c r="E182" s="21" t="s">
        <v>134</v>
      </c>
      <c r="F182" s="66">
        <f t="shared" ref="F182:H183" si="42">F183</f>
        <v>0</v>
      </c>
      <c r="G182" s="66">
        <f t="shared" si="42"/>
        <v>1912</v>
      </c>
      <c r="H182" s="66">
        <f t="shared" si="42"/>
        <v>11561.5</v>
      </c>
      <c r="K182" s="26"/>
    </row>
    <row r="183" spans="1:11" ht="36.950000000000003" customHeight="1" x14ac:dyDescent="0.2">
      <c r="A183" s="24" t="s">
        <v>132</v>
      </c>
      <c r="B183" s="15" t="s">
        <v>61</v>
      </c>
      <c r="C183" s="9"/>
      <c r="D183" s="9"/>
      <c r="E183" s="22" t="s">
        <v>62</v>
      </c>
      <c r="F183" s="66">
        <f t="shared" si="42"/>
        <v>0</v>
      </c>
      <c r="G183" s="66">
        <f t="shared" si="42"/>
        <v>1912</v>
      </c>
      <c r="H183" s="66">
        <f t="shared" si="42"/>
        <v>11561.5</v>
      </c>
      <c r="K183" s="26"/>
    </row>
    <row r="184" spans="1:11" ht="36.950000000000003" customHeight="1" x14ac:dyDescent="0.2">
      <c r="A184" s="24" t="s">
        <v>132</v>
      </c>
      <c r="B184" s="15" t="s">
        <v>63</v>
      </c>
      <c r="C184" s="9" t="s">
        <v>64</v>
      </c>
      <c r="D184" s="9" t="s">
        <v>81</v>
      </c>
      <c r="E184" s="22" t="s">
        <v>65</v>
      </c>
      <c r="F184" s="69">
        <v>0</v>
      </c>
      <c r="G184" s="69">
        <v>1912</v>
      </c>
      <c r="H184" s="69">
        <v>11561.5</v>
      </c>
      <c r="K184" s="26"/>
    </row>
    <row r="185" spans="1:11" ht="36.950000000000003" customHeight="1" x14ac:dyDescent="0.2">
      <c r="A185" s="24" t="s">
        <v>135</v>
      </c>
      <c r="B185" s="15" t="s">
        <v>13</v>
      </c>
      <c r="C185" s="9"/>
      <c r="D185" s="9"/>
      <c r="E185" s="21" t="s">
        <v>136</v>
      </c>
      <c r="F185" s="66">
        <f t="shared" ref="F185:H186" si="43">F186</f>
        <v>0</v>
      </c>
      <c r="G185" s="66">
        <f t="shared" si="43"/>
        <v>1560.5</v>
      </c>
      <c r="H185" s="66">
        <f t="shared" si="43"/>
        <v>9435.4</v>
      </c>
      <c r="K185" s="26"/>
    </row>
    <row r="186" spans="1:11" ht="36.950000000000003" customHeight="1" x14ac:dyDescent="0.2">
      <c r="A186" s="24" t="s">
        <v>135</v>
      </c>
      <c r="B186" s="15" t="s">
        <v>61</v>
      </c>
      <c r="C186" s="9"/>
      <c r="D186" s="9"/>
      <c r="E186" s="22" t="s">
        <v>62</v>
      </c>
      <c r="F186" s="66">
        <f t="shared" si="43"/>
        <v>0</v>
      </c>
      <c r="G186" s="66">
        <f t="shared" si="43"/>
        <v>1560.5</v>
      </c>
      <c r="H186" s="66">
        <f t="shared" si="43"/>
        <v>9435.4</v>
      </c>
      <c r="K186" s="26"/>
    </row>
    <row r="187" spans="1:11" ht="36.950000000000003" customHeight="1" x14ac:dyDescent="0.2">
      <c r="A187" s="24" t="s">
        <v>135</v>
      </c>
      <c r="B187" s="15" t="s">
        <v>63</v>
      </c>
      <c r="C187" s="9" t="s">
        <v>64</v>
      </c>
      <c r="D187" s="9" t="s">
        <v>81</v>
      </c>
      <c r="E187" s="22" t="s">
        <v>65</v>
      </c>
      <c r="F187" s="69">
        <v>0</v>
      </c>
      <c r="G187" s="69">
        <v>1560.5</v>
      </c>
      <c r="H187" s="69">
        <v>9435.4</v>
      </c>
      <c r="K187" s="26"/>
    </row>
    <row r="188" spans="1:11" ht="36.950000000000003" customHeight="1" x14ac:dyDescent="0.2">
      <c r="A188" s="24" t="s">
        <v>137</v>
      </c>
      <c r="B188" s="15" t="s">
        <v>13</v>
      </c>
      <c r="C188" s="9"/>
      <c r="D188" s="9"/>
      <c r="E188" s="21" t="s">
        <v>138</v>
      </c>
      <c r="F188" s="66">
        <f t="shared" ref="F188:H189" si="44">F189</f>
        <v>0</v>
      </c>
      <c r="G188" s="66">
        <f t="shared" si="44"/>
        <v>173.4</v>
      </c>
      <c r="H188" s="66">
        <f t="shared" si="44"/>
        <v>1048.4000000000001</v>
      </c>
      <c r="K188" s="26"/>
    </row>
    <row r="189" spans="1:11" ht="36.950000000000003" customHeight="1" x14ac:dyDescent="0.2">
      <c r="A189" s="24" t="s">
        <v>137</v>
      </c>
      <c r="B189" s="15" t="s">
        <v>61</v>
      </c>
      <c r="C189" s="9"/>
      <c r="D189" s="9"/>
      <c r="E189" s="22" t="s">
        <v>62</v>
      </c>
      <c r="F189" s="66">
        <f t="shared" si="44"/>
        <v>0</v>
      </c>
      <c r="G189" s="66">
        <f t="shared" si="44"/>
        <v>173.4</v>
      </c>
      <c r="H189" s="66">
        <f t="shared" si="44"/>
        <v>1048.4000000000001</v>
      </c>
      <c r="K189" s="26"/>
    </row>
    <row r="190" spans="1:11" ht="36.950000000000003" customHeight="1" x14ac:dyDescent="0.2">
      <c r="A190" s="24" t="s">
        <v>137</v>
      </c>
      <c r="B190" s="15" t="s">
        <v>63</v>
      </c>
      <c r="C190" s="9" t="s">
        <v>64</v>
      </c>
      <c r="D190" s="9" t="s">
        <v>81</v>
      </c>
      <c r="E190" s="22" t="s">
        <v>65</v>
      </c>
      <c r="F190" s="69">
        <v>0</v>
      </c>
      <c r="G190" s="69">
        <v>173.4</v>
      </c>
      <c r="H190" s="69">
        <v>1048.4000000000001</v>
      </c>
      <c r="K190" s="26"/>
    </row>
    <row r="191" spans="1:11" ht="68.099999999999994" customHeight="1" x14ac:dyDescent="0.2">
      <c r="A191" s="9" t="s">
        <v>139</v>
      </c>
      <c r="B191" s="9" t="s">
        <v>13</v>
      </c>
      <c r="C191" s="9"/>
      <c r="D191" s="9"/>
      <c r="E191" s="10" t="s">
        <v>140</v>
      </c>
      <c r="F191" s="66">
        <f>F192</f>
        <v>4305.8</v>
      </c>
      <c r="G191" s="66">
        <f>G192</f>
        <v>0</v>
      </c>
      <c r="H191" s="66">
        <f>H192</f>
        <v>0</v>
      </c>
    </row>
    <row r="192" spans="1:11" ht="33.950000000000003" customHeight="1" x14ac:dyDescent="0.2">
      <c r="A192" s="9" t="s">
        <v>141</v>
      </c>
      <c r="B192" s="9" t="s">
        <v>13</v>
      </c>
      <c r="C192" s="9"/>
      <c r="D192" s="9"/>
      <c r="E192" s="10" t="s">
        <v>142</v>
      </c>
      <c r="F192" s="66">
        <f>F194</f>
        <v>4305.8</v>
      </c>
      <c r="G192" s="66">
        <f>G194</f>
        <v>0</v>
      </c>
      <c r="H192" s="66">
        <f>H194</f>
        <v>0</v>
      </c>
    </row>
    <row r="193" spans="1:8" ht="36.950000000000003" customHeight="1" x14ac:dyDescent="0.2">
      <c r="A193" s="9" t="s">
        <v>141</v>
      </c>
      <c r="B193" s="9" t="s">
        <v>21</v>
      </c>
      <c r="C193" s="9"/>
      <c r="D193" s="9"/>
      <c r="E193" s="12" t="s">
        <v>22</v>
      </c>
      <c r="F193" s="66">
        <f>F194</f>
        <v>4305.8</v>
      </c>
      <c r="G193" s="66">
        <f>G194</f>
        <v>0</v>
      </c>
      <c r="H193" s="66">
        <f>H194</f>
        <v>0</v>
      </c>
    </row>
    <row r="194" spans="1:8" ht="26.25" customHeight="1" x14ac:dyDescent="0.2">
      <c r="A194" s="9" t="s">
        <v>141</v>
      </c>
      <c r="B194" s="9" t="s">
        <v>23</v>
      </c>
      <c r="C194" s="9" t="s">
        <v>24</v>
      </c>
      <c r="D194" s="9" t="s">
        <v>81</v>
      </c>
      <c r="E194" s="12" t="s">
        <v>26</v>
      </c>
      <c r="F194" s="66">
        <v>4305.8</v>
      </c>
      <c r="G194" s="66">
        <f>5128.55-3800-1328.55</f>
        <v>0</v>
      </c>
      <c r="H194" s="66">
        <f>5128.55-3800-1328.55</f>
        <v>0</v>
      </c>
    </row>
    <row r="195" spans="1:8" ht="38.1" customHeight="1" x14ac:dyDescent="0.2">
      <c r="A195" s="9" t="s">
        <v>143</v>
      </c>
      <c r="B195" s="9" t="s">
        <v>13</v>
      </c>
      <c r="C195" s="9"/>
      <c r="D195" s="9"/>
      <c r="E195" s="10" t="s">
        <v>144</v>
      </c>
      <c r="F195" s="66">
        <f>F196+F199</f>
        <v>32234.720669999999</v>
      </c>
      <c r="G195" s="66">
        <f>G196+G199</f>
        <v>11499.599999999999</v>
      </c>
      <c r="H195" s="66">
        <f>H196+H199</f>
        <v>11499.599999999999</v>
      </c>
    </row>
    <row r="196" spans="1:8" ht="35.1" customHeight="1" x14ac:dyDescent="0.2">
      <c r="A196" s="9" t="s">
        <v>145</v>
      </c>
      <c r="B196" s="9" t="s">
        <v>13</v>
      </c>
      <c r="C196" s="9"/>
      <c r="D196" s="9"/>
      <c r="E196" s="10" t="s">
        <v>146</v>
      </c>
      <c r="F196" s="66">
        <f t="shared" ref="F196:H197" si="45">F197</f>
        <v>17722.720669999999</v>
      </c>
      <c r="G196" s="66">
        <f t="shared" si="45"/>
        <v>6627.5999999999985</v>
      </c>
      <c r="H196" s="66">
        <f t="shared" si="45"/>
        <v>6627.5999999999985</v>
      </c>
    </row>
    <row r="197" spans="1:8" ht="39" customHeight="1" x14ac:dyDescent="0.2">
      <c r="A197" s="9" t="s">
        <v>145</v>
      </c>
      <c r="B197" s="9" t="s">
        <v>21</v>
      </c>
      <c r="C197" s="9"/>
      <c r="D197" s="9"/>
      <c r="E197" s="12" t="s">
        <v>22</v>
      </c>
      <c r="F197" s="66">
        <f t="shared" si="45"/>
        <v>17722.720669999999</v>
      </c>
      <c r="G197" s="66">
        <f t="shared" si="45"/>
        <v>6627.5999999999985</v>
      </c>
      <c r="H197" s="66">
        <f t="shared" si="45"/>
        <v>6627.5999999999985</v>
      </c>
    </row>
    <row r="198" spans="1:8" ht="27" customHeight="1" x14ac:dyDescent="0.2">
      <c r="A198" s="9" t="s">
        <v>145</v>
      </c>
      <c r="B198" s="9" t="s">
        <v>23</v>
      </c>
      <c r="C198" s="9" t="s">
        <v>24</v>
      </c>
      <c r="D198" s="9" t="s">
        <v>81</v>
      </c>
      <c r="E198" s="12" t="s">
        <v>26</v>
      </c>
      <c r="F198" s="77">
        <f>4293.4+13834.2-404.87933</f>
        <v>17722.720669999999</v>
      </c>
      <c r="G198" s="66">
        <f>4293.4+13834.2-11500</f>
        <v>6627.5999999999985</v>
      </c>
      <c r="H198" s="66">
        <f>4293.4+13834.2-11500</f>
        <v>6627.5999999999985</v>
      </c>
    </row>
    <row r="199" spans="1:8" ht="35.1" customHeight="1" x14ac:dyDescent="0.2">
      <c r="A199" s="14" t="s">
        <v>147</v>
      </c>
      <c r="B199" s="14" t="s">
        <v>13</v>
      </c>
      <c r="C199" s="14"/>
      <c r="D199" s="14"/>
      <c r="E199" s="10" t="s">
        <v>71</v>
      </c>
      <c r="F199" s="68">
        <f t="shared" ref="F199:H200" si="46">F200</f>
        <v>14512</v>
      </c>
      <c r="G199" s="68">
        <f t="shared" si="46"/>
        <v>4872</v>
      </c>
      <c r="H199" s="68">
        <f t="shared" si="46"/>
        <v>4872</v>
      </c>
    </row>
    <row r="200" spans="1:8" ht="34.5" customHeight="1" x14ac:dyDescent="0.2">
      <c r="A200" s="9" t="s">
        <v>147</v>
      </c>
      <c r="B200" s="9" t="s">
        <v>21</v>
      </c>
      <c r="C200" s="9"/>
      <c r="D200" s="9"/>
      <c r="E200" s="12" t="s">
        <v>22</v>
      </c>
      <c r="F200" s="66">
        <f t="shared" si="46"/>
        <v>14512</v>
      </c>
      <c r="G200" s="66">
        <f t="shared" si="46"/>
        <v>4872</v>
      </c>
      <c r="H200" s="66">
        <f t="shared" si="46"/>
        <v>4872</v>
      </c>
    </row>
    <row r="201" spans="1:8" ht="23.25" customHeight="1" x14ac:dyDescent="0.2">
      <c r="A201" s="9" t="s">
        <v>147</v>
      </c>
      <c r="B201" s="9" t="s">
        <v>23</v>
      </c>
      <c r="C201" s="9" t="s">
        <v>24</v>
      </c>
      <c r="D201" s="9" t="s">
        <v>81</v>
      </c>
      <c r="E201" s="12" t="s">
        <v>26</v>
      </c>
      <c r="F201" s="66">
        <f>4700.7+10671.3-860</f>
        <v>14512</v>
      </c>
      <c r="G201" s="66">
        <f>4700.7+10671.3-10500</f>
        <v>4872</v>
      </c>
      <c r="H201" s="66">
        <f>4700.7+10671.3-10500</f>
        <v>4872</v>
      </c>
    </row>
    <row r="202" spans="1:8" ht="53.1" customHeight="1" x14ac:dyDescent="0.2">
      <c r="A202" s="9" t="s">
        <v>148</v>
      </c>
      <c r="B202" s="9" t="s">
        <v>13</v>
      </c>
      <c r="C202" s="9"/>
      <c r="D202" s="9"/>
      <c r="E202" s="10" t="s">
        <v>149</v>
      </c>
      <c r="F202" s="69">
        <f>F203+F206+F209+F212+F216</f>
        <v>60284.798000000003</v>
      </c>
      <c r="G202" s="69">
        <f>G203+G206+G209+G212+G216</f>
        <v>34968.1</v>
      </c>
      <c r="H202" s="69">
        <f>H203+H206+H209+H212+H216</f>
        <v>34968.1</v>
      </c>
    </row>
    <row r="203" spans="1:8" ht="82.5" customHeight="1" x14ac:dyDescent="0.2">
      <c r="A203" s="9" t="s">
        <v>150</v>
      </c>
      <c r="B203" s="9" t="s">
        <v>13</v>
      </c>
      <c r="C203" s="9"/>
      <c r="D203" s="9"/>
      <c r="E203" s="25" t="s">
        <v>151</v>
      </c>
      <c r="F203" s="69">
        <f t="shared" ref="F203:H204" si="47">F204</f>
        <v>3975.3</v>
      </c>
      <c r="G203" s="69">
        <f t="shared" si="47"/>
        <v>3975.3</v>
      </c>
      <c r="H203" s="69">
        <f t="shared" si="47"/>
        <v>3975.3</v>
      </c>
    </row>
    <row r="204" spans="1:8" ht="35.1" customHeight="1" x14ac:dyDescent="0.2">
      <c r="A204" s="9" t="s">
        <v>150</v>
      </c>
      <c r="B204" s="9" t="s">
        <v>21</v>
      </c>
      <c r="C204" s="9"/>
      <c r="D204" s="9"/>
      <c r="E204" s="10" t="s">
        <v>22</v>
      </c>
      <c r="F204" s="69">
        <f t="shared" si="47"/>
        <v>3975.3</v>
      </c>
      <c r="G204" s="69">
        <f t="shared" si="47"/>
        <v>3975.3</v>
      </c>
      <c r="H204" s="69">
        <f t="shared" si="47"/>
        <v>3975.3</v>
      </c>
    </row>
    <row r="205" spans="1:8" ht="29.1" customHeight="1" x14ac:dyDescent="0.2">
      <c r="A205" s="9" t="s">
        <v>150</v>
      </c>
      <c r="B205" s="9" t="s">
        <v>23</v>
      </c>
      <c r="C205" s="9" t="s">
        <v>24</v>
      </c>
      <c r="D205" s="9" t="s">
        <v>81</v>
      </c>
      <c r="E205" s="10" t="s">
        <v>26</v>
      </c>
      <c r="F205" s="66">
        <v>3975.3</v>
      </c>
      <c r="G205" s="66">
        <v>3975.3</v>
      </c>
      <c r="H205" s="66">
        <v>3975.3</v>
      </c>
    </row>
    <row r="206" spans="1:8" ht="36.75" customHeight="1" x14ac:dyDescent="0.2">
      <c r="A206" s="9" t="s">
        <v>152</v>
      </c>
      <c r="B206" s="9" t="s">
        <v>13</v>
      </c>
      <c r="C206" s="9"/>
      <c r="D206" s="9"/>
      <c r="E206" s="10" t="s">
        <v>153</v>
      </c>
      <c r="F206" s="66">
        <f t="shared" ref="F206:H207" si="48">F207</f>
        <v>194.6</v>
      </c>
      <c r="G206" s="66">
        <f t="shared" si="48"/>
        <v>194.6</v>
      </c>
      <c r="H206" s="66">
        <f t="shared" si="48"/>
        <v>194.6</v>
      </c>
    </row>
    <row r="207" spans="1:8" ht="36" customHeight="1" x14ac:dyDescent="0.2">
      <c r="A207" s="9" t="s">
        <v>152</v>
      </c>
      <c r="B207" s="9" t="s">
        <v>21</v>
      </c>
      <c r="C207" s="9"/>
      <c r="D207" s="9"/>
      <c r="E207" s="12" t="s">
        <v>22</v>
      </c>
      <c r="F207" s="66">
        <f t="shared" si="48"/>
        <v>194.6</v>
      </c>
      <c r="G207" s="66">
        <f t="shared" si="48"/>
        <v>194.6</v>
      </c>
      <c r="H207" s="66">
        <f t="shared" si="48"/>
        <v>194.6</v>
      </c>
    </row>
    <row r="208" spans="1:8" ht="26.25" customHeight="1" x14ac:dyDescent="0.2">
      <c r="A208" s="9" t="s">
        <v>152</v>
      </c>
      <c r="B208" s="9" t="s">
        <v>23</v>
      </c>
      <c r="C208" s="9" t="s">
        <v>24</v>
      </c>
      <c r="D208" s="9" t="s">
        <v>106</v>
      </c>
      <c r="E208" s="12" t="s">
        <v>26</v>
      </c>
      <c r="F208" s="66">
        <v>194.6</v>
      </c>
      <c r="G208" s="66">
        <v>194.6</v>
      </c>
      <c r="H208" s="66">
        <v>194.6</v>
      </c>
    </row>
    <row r="209" spans="1:8" ht="51.75" customHeight="1" x14ac:dyDescent="0.2">
      <c r="A209" s="9" t="s">
        <v>154</v>
      </c>
      <c r="B209" s="9" t="s">
        <v>13</v>
      </c>
      <c r="C209" s="9"/>
      <c r="D209" s="9"/>
      <c r="E209" s="10" t="s">
        <v>155</v>
      </c>
      <c r="F209" s="66">
        <f t="shared" ref="F209:H210" si="49">F210</f>
        <v>751</v>
      </c>
      <c r="G209" s="66">
        <f t="shared" si="49"/>
        <v>700</v>
      </c>
      <c r="H209" s="66">
        <f t="shared" si="49"/>
        <v>700</v>
      </c>
    </row>
    <row r="210" spans="1:8" ht="33" customHeight="1" x14ac:dyDescent="0.2">
      <c r="A210" s="9" t="s">
        <v>154</v>
      </c>
      <c r="B210" s="9" t="s">
        <v>21</v>
      </c>
      <c r="C210" s="9"/>
      <c r="D210" s="9"/>
      <c r="E210" s="10" t="s">
        <v>22</v>
      </c>
      <c r="F210" s="66">
        <f t="shared" si="49"/>
        <v>751</v>
      </c>
      <c r="G210" s="66">
        <f t="shared" si="49"/>
        <v>700</v>
      </c>
      <c r="H210" s="66">
        <f t="shared" si="49"/>
        <v>700</v>
      </c>
    </row>
    <row r="211" spans="1:8" ht="26.25" customHeight="1" x14ac:dyDescent="0.2">
      <c r="A211" s="9" t="s">
        <v>154</v>
      </c>
      <c r="B211" s="9" t="s">
        <v>23</v>
      </c>
      <c r="C211" s="9" t="s">
        <v>24</v>
      </c>
      <c r="D211" s="9" t="s">
        <v>106</v>
      </c>
      <c r="E211" s="10" t="s">
        <v>26</v>
      </c>
      <c r="F211" s="66">
        <v>751</v>
      </c>
      <c r="G211" s="66">
        <v>700</v>
      </c>
      <c r="H211" s="66">
        <v>700</v>
      </c>
    </row>
    <row r="212" spans="1:8" ht="80.099999999999994" customHeight="1" x14ac:dyDescent="0.2">
      <c r="A212" s="9" t="s">
        <v>156</v>
      </c>
      <c r="B212" s="9" t="s">
        <v>13</v>
      </c>
      <c r="C212" s="9"/>
      <c r="D212" s="9"/>
      <c r="E212" s="10" t="s">
        <v>157</v>
      </c>
      <c r="F212" s="69">
        <f t="shared" ref="F212:H212" si="50">F213</f>
        <v>55146.898000000001</v>
      </c>
      <c r="G212" s="69">
        <f t="shared" si="50"/>
        <v>29881.200000000001</v>
      </c>
      <c r="H212" s="69">
        <f t="shared" si="50"/>
        <v>29881.200000000001</v>
      </c>
    </row>
    <row r="213" spans="1:8" ht="37.5" customHeight="1" x14ac:dyDescent="0.2">
      <c r="A213" s="9" t="s">
        <v>156</v>
      </c>
      <c r="B213" s="9" t="s">
        <v>21</v>
      </c>
      <c r="C213" s="9"/>
      <c r="D213" s="9"/>
      <c r="E213" s="12" t="s">
        <v>22</v>
      </c>
      <c r="F213" s="69">
        <f>F214+F215</f>
        <v>55146.898000000001</v>
      </c>
      <c r="G213" s="69">
        <f t="shared" ref="G213:H213" si="51">G214+G215</f>
        <v>29881.200000000001</v>
      </c>
      <c r="H213" s="69">
        <f t="shared" si="51"/>
        <v>29881.200000000001</v>
      </c>
    </row>
    <row r="214" spans="1:8" ht="26.25" customHeight="1" x14ac:dyDescent="0.2">
      <c r="A214" s="9" t="s">
        <v>156</v>
      </c>
      <c r="B214" s="9" t="s">
        <v>23</v>
      </c>
      <c r="C214" s="9" t="s">
        <v>24</v>
      </c>
      <c r="D214" s="9" t="s">
        <v>81</v>
      </c>
      <c r="E214" s="12" t="s">
        <v>26</v>
      </c>
      <c r="F214" s="81">
        <f>6439+23442.2+3447.49+17818.208</f>
        <v>51146.898000000001</v>
      </c>
      <c r="G214" s="69">
        <f>6439+23442.2</f>
        <v>29881.200000000001</v>
      </c>
      <c r="H214" s="69">
        <f>6439+23442.2</f>
        <v>29881.200000000001</v>
      </c>
    </row>
    <row r="215" spans="1:8" ht="26.25" customHeight="1" x14ac:dyDescent="0.2">
      <c r="A215" s="9" t="s">
        <v>156</v>
      </c>
      <c r="B215" s="9" t="s">
        <v>23</v>
      </c>
      <c r="C215" s="9" t="s">
        <v>24</v>
      </c>
      <c r="D215" s="9" t="s">
        <v>106</v>
      </c>
      <c r="E215" s="10" t="s">
        <v>26</v>
      </c>
      <c r="F215" s="69">
        <v>4000</v>
      </c>
      <c r="G215" s="69">
        <v>0</v>
      </c>
      <c r="H215" s="69">
        <v>0</v>
      </c>
    </row>
    <row r="216" spans="1:8" ht="48.95" customHeight="1" x14ac:dyDescent="0.2">
      <c r="A216" s="9" t="s">
        <v>158</v>
      </c>
      <c r="B216" s="9" t="s">
        <v>13</v>
      </c>
      <c r="C216" s="9"/>
      <c r="D216" s="9"/>
      <c r="E216" s="10" t="s">
        <v>159</v>
      </c>
      <c r="F216" s="66">
        <f t="shared" ref="F216:H217" si="52">F217</f>
        <v>217</v>
      </c>
      <c r="G216" s="66">
        <f t="shared" si="52"/>
        <v>217</v>
      </c>
      <c r="H216" s="66">
        <f t="shared" si="52"/>
        <v>217</v>
      </c>
    </row>
    <row r="217" spans="1:8" ht="35.25" customHeight="1" x14ac:dyDescent="0.2">
      <c r="A217" s="9" t="s">
        <v>158</v>
      </c>
      <c r="B217" s="9" t="s">
        <v>21</v>
      </c>
      <c r="C217" s="9"/>
      <c r="D217" s="9"/>
      <c r="E217" s="12" t="s">
        <v>22</v>
      </c>
      <c r="F217" s="66">
        <f t="shared" si="52"/>
        <v>217</v>
      </c>
      <c r="G217" s="66">
        <f t="shared" si="52"/>
        <v>217</v>
      </c>
      <c r="H217" s="66">
        <f t="shared" si="52"/>
        <v>217</v>
      </c>
    </row>
    <row r="218" spans="1:8" ht="21.75" customHeight="1" x14ac:dyDescent="0.2">
      <c r="A218" s="9" t="s">
        <v>158</v>
      </c>
      <c r="B218" s="9" t="s">
        <v>23</v>
      </c>
      <c r="C218" s="9" t="s">
        <v>24</v>
      </c>
      <c r="D218" s="9" t="s">
        <v>106</v>
      </c>
      <c r="E218" s="12" t="s">
        <v>26</v>
      </c>
      <c r="F218" s="66">
        <v>217</v>
      </c>
      <c r="G218" s="66">
        <v>217</v>
      </c>
      <c r="H218" s="66">
        <v>217</v>
      </c>
    </row>
    <row r="219" spans="1:8" ht="51" customHeight="1" x14ac:dyDescent="0.2">
      <c r="A219" s="9" t="s">
        <v>160</v>
      </c>
      <c r="B219" s="9" t="s">
        <v>13</v>
      </c>
      <c r="C219" s="9"/>
      <c r="D219" s="9"/>
      <c r="E219" s="10" t="s">
        <v>161</v>
      </c>
      <c r="F219" s="66">
        <f>F220+F223+F226+F229+F232+F235+F238</f>
        <v>61592.561480000004</v>
      </c>
      <c r="G219" s="66">
        <f>G220+G223+G226+G229+G232+G235+G238</f>
        <v>54561.479999999996</v>
      </c>
      <c r="H219" s="66">
        <f>H220+H223+H226+H229+H232+H235+H238</f>
        <v>53408.98</v>
      </c>
    </row>
    <row r="220" spans="1:8" ht="29.1" customHeight="1" x14ac:dyDescent="0.2">
      <c r="A220" s="9" t="s">
        <v>162</v>
      </c>
      <c r="B220" s="9" t="s">
        <v>13</v>
      </c>
      <c r="C220" s="9"/>
      <c r="D220" s="9"/>
      <c r="E220" s="10" t="s">
        <v>163</v>
      </c>
      <c r="F220" s="66">
        <f t="shared" ref="F220:H221" si="53">F221</f>
        <v>3954.7</v>
      </c>
      <c r="G220" s="66">
        <f t="shared" si="53"/>
        <v>3954.7</v>
      </c>
      <c r="H220" s="66">
        <f t="shared" si="53"/>
        <v>3954.7</v>
      </c>
    </row>
    <row r="221" spans="1:8" ht="37.5" customHeight="1" x14ac:dyDescent="0.2">
      <c r="A221" s="9" t="s">
        <v>162</v>
      </c>
      <c r="B221" s="9" t="s">
        <v>21</v>
      </c>
      <c r="C221" s="9"/>
      <c r="D221" s="9"/>
      <c r="E221" s="10" t="s">
        <v>22</v>
      </c>
      <c r="F221" s="66">
        <f t="shared" si="53"/>
        <v>3954.7</v>
      </c>
      <c r="G221" s="66">
        <f t="shared" si="53"/>
        <v>3954.7</v>
      </c>
      <c r="H221" s="66">
        <f t="shared" si="53"/>
        <v>3954.7</v>
      </c>
    </row>
    <row r="222" spans="1:8" ht="22.5" customHeight="1" x14ac:dyDescent="0.2">
      <c r="A222" s="9" t="s">
        <v>162</v>
      </c>
      <c r="B222" s="9" t="s">
        <v>23</v>
      </c>
      <c r="C222" s="9" t="s">
        <v>24</v>
      </c>
      <c r="D222" s="9" t="s">
        <v>106</v>
      </c>
      <c r="E222" s="10" t="s">
        <v>26</v>
      </c>
      <c r="F222" s="66">
        <v>3954.7</v>
      </c>
      <c r="G222" s="66">
        <v>3954.7</v>
      </c>
      <c r="H222" s="66">
        <v>3954.7</v>
      </c>
    </row>
    <row r="223" spans="1:8" ht="39" customHeight="1" x14ac:dyDescent="0.2">
      <c r="A223" s="9" t="s">
        <v>164</v>
      </c>
      <c r="B223" s="9" t="s">
        <v>13</v>
      </c>
      <c r="C223" s="9"/>
      <c r="D223" s="9"/>
      <c r="E223" s="10" t="s">
        <v>165</v>
      </c>
      <c r="F223" s="66">
        <f t="shared" ref="F223:H224" si="54">F224</f>
        <v>5058.7</v>
      </c>
      <c r="G223" s="66">
        <f t="shared" si="54"/>
        <v>4377.7</v>
      </c>
      <c r="H223" s="66">
        <f t="shared" si="54"/>
        <v>4377.7</v>
      </c>
    </row>
    <row r="224" spans="1:8" ht="36" customHeight="1" x14ac:dyDescent="0.2">
      <c r="A224" s="9" t="s">
        <v>164</v>
      </c>
      <c r="B224" s="9" t="s">
        <v>21</v>
      </c>
      <c r="C224" s="9"/>
      <c r="D224" s="9"/>
      <c r="E224" s="12" t="s">
        <v>22</v>
      </c>
      <c r="F224" s="66">
        <f t="shared" si="54"/>
        <v>5058.7</v>
      </c>
      <c r="G224" s="66">
        <f t="shared" si="54"/>
        <v>4377.7</v>
      </c>
      <c r="H224" s="66">
        <f t="shared" si="54"/>
        <v>4377.7</v>
      </c>
    </row>
    <row r="225" spans="1:8" ht="22.5" customHeight="1" x14ac:dyDescent="0.2">
      <c r="A225" s="9" t="s">
        <v>164</v>
      </c>
      <c r="B225" s="9" t="s">
        <v>23</v>
      </c>
      <c r="C225" s="9" t="s">
        <v>24</v>
      </c>
      <c r="D225" s="9" t="s">
        <v>166</v>
      </c>
      <c r="E225" s="12" t="s">
        <v>26</v>
      </c>
      <c r="F225" s="66">
        <f>4377.7+681</f>
        <v>5058.7</v>
      </c>
      <c r="G225" s="66">
        <v>4377.7</v>
      </c>
      <c r="H225" s="66">
        <v>4377.7</v>
      </c>
    </row>
    <row r="226" spans="1:8" ht="51.95" customHeight="1" x14ac:dyDescent="0.2">
      <c r="A226" s="9" t="s">
        <v>167</v>
      </c>
      <c r="B226" s="9" t="s">
        <v>13</v>
      </c>
      <c r="C226" s="9"/>
      <c r="D226" s="9"/>
      <c r="E226" s="10" t="s">
        <v>168</v>
      </c>
      <c r="F226" s="69">
        <f>F228</f>
        <v>9619.3222299999998</v>
      </c>
      <c r="G226" s="69">
        <f>G228</f>
        <v>9024.3081299999994</v>
      </c>
      <c r="H226" s="69">
        <f>H228</f>
        <v>9028.4080200000008</v>
      </c>
    </row>
    <row r="227" spans="1:8" ht="33" customHeight="1" x14ac:dyDescent="0.2">
      <c r="A227" s="9" t="s">
        <v>167</v>
      </c>
      <c r="B227" s="9" t="s">
        <v>21</v>
      </c>
      <c r="C227" s="9"/>
      <c r="D227" s="9"/>
      <c r="E227" s="12" t="s">
        <v>22</v>
      </c>
      <c r="F227" s="69">
        <f>F228</f>
        <v>9619.3222299999998</v>
      </c>
      <c r="G227" s="69">
        <f>G228</f>
        <v>9024.3081299999994</v>
      </c>
      <c r="H227" s="69">
        <f>H228</f>
        <v>9028.4080200000008</v>
      </c>
    </row>
    <row r="228" spans="1:8" ht="22.5" customHeight="1" x14ac:dyDescent="0.2">
      <c r="A228" s="9" t="s">
        <v>167</v>
      </c>
      <c r="B228" s="9" t="s">
        <v>23</v>
      </c>
      <c r="C228" s="9" t="s">
        <v>24</v>
      </c>
      <c r="D228" s="9" t="s">
        <v>81</v>
      </c>
      <c r="E228" s="12" t="s">
        <v>26</v>
      </c>
      <c r="F228" s="81">
        <f>9941.4-805.82-78.91765+562.65988</f>
        <v>9619.3222299999998</v>
      </c>
      <c r="G228" s="69">
        <f>9941.4-805.82-111.27187</f>
        <v>9024.3081299999994</v>
      </c>
      <c r="H228" s="69">
        <f>9941.4-805.82-107.17198</f>
        <v>9028.4080200000008</v>
      </c>
    </row>
    <row r="229" spans="1:8" ht="54" customHeight="1" x14ac:dyDescent="0.2">
      <c r="A229" s="9" t="s">
        <v>169</v>
      </c>
      <c r="B229" s="9" t="s">
        <v>13</v>
      </c>
      <c r="C229" s="9"/>
      <c r="D229" s="9"/>
      <c r="E229" s="10" t="s">
        <v>170</v>
      </c>
      <c r="F229" s="69">
        <f t="shared" ref="F229:H230" si="55">F230</f>
        <v>853.22160000000008</v>
      </c>
      <c r="G229" s="69">
        <f t="shared" si="55"/>
        <v>805.8</v>
      </c>
      <c r="H229" s="69">
        <f t="shared" si="55"/>
        <v>807.6</v>
      </c>
    </row>
    <row r="230" spans="1:8" ht="38.1" customHeight="1" x14ac:dyDescent="0.2">
      <c r="A230" s="9" t="s">
        <v>169</v>
      </c>
      <c r="B230" s="9" t="s">
        <v>21</v>
      </c>
      <c r="C230" s="9"/>
      <c r="D230" s="9"/>
      <c r="E230" s="10" t="s">
        <v>22</v>
      </c>
      <c r="F230" s="69">
        <f t="shared" si="55"/>
        <v>853.22160000000008</v>
      </c>
      <c r="G230" s="69">
        <f t="shared" si="55"/>
        <v>805.8</v>
      </c>
      <c r="H230" s="69">
        <f t="shared" si="55"/>
        <v>807.6</v>
      </c>
    </row>
    <row r="231" spans="1:8" ht="24" customHeight="1" x14ac:dyDescent="0.2">
      <c r="A231" s="9" t="s">
        <v>169</v>
      </c>
      <c r="B231" s="9" t="s">
        <v>23</v>
      </c>
      <c r="C231" s="9" t="s">
        <v>24</v>
      </c>
      <c r="D231" s="9" t="s">
        <v>81</v>
      </c>
      <c r="E231" s="10" t="s">
        <v>26</v>
      </c>
      <c r="F231" s="81">
        <f>805.82+47.4016</f>
        <v>853.22160000000008</v>
      </c>
      <c r="G231" s="69">
        <v>805.8</v>
      </c>
      <c r="H231" s="69">
        <v>807.6</v>
      </c>
    </row>
    <row r="232" spans="1:8" ht="69.75" customHeight="1" x14ac:dyDescent="0.2">
      <c r="A232" s="9" t="s">
        <v>171</v>
      </c>
      <c r="B232" s="9" t="s">
        <v>13</v>
      </c>
      <c r="C232" s="9"/>
      <c r="D232" s="9"/>
      <c r="E232" s="10" t="s">
        <v>172</v>
      </c>
      <c r="F232" s="66">
        <f t="shared" ref="F232:H233" si="56">F233</f>
        <v>30501.100000000002</v>
      </c>
      <c r="G232" s="66">
        <f t="shared" si="56"/>
        <v>28235.200000000001</v>
      </c>
      <c r="H232" s="66">
        <f t="shared" si="56"/>
        <v>27192.600000000002</v>
      </c>
    </row>
    <row r="233" spans="1:8" ht="36" customHeight="1" x14ac:dyDescent="0.2">
      <c r="A233" s="9" t="s">
        <v>171</v>
      </c>
      <c r="B233" s="9" t="s">
        <v>21</v>
      </c>
      <c r="C233" s="9"/>
      <c r="D233" s="9"/>
      <c r="E233" s="12" t="s">
        <v>22</v>
      </c>
      <c r="F233" s="66">
        <f t="shared" si="56"/>
        <v>30501.100000000002</v>
      </c>
      <c r="G233" s="66">
        <f t="shared" si="56"/>
        <v>28235.200000000001</v>
      </c>
      <c r="H233" s="66">
        <f t="shared" si="56"/>
        <v>27192.600000000002</v>
      </c>
    </row>
    <row r="234" spans="1:8" ht="26.25" customHeight="1" x14ac:dyDescent="0.2">
      <c r="A234" s="9" t="s">
        <v>171</v>
      </c>
      <c r="B234" s="9" t="s">
        <v>23</v>
      </c>
      <c r="C234" s="9" t="s">
        <v>24</v>
      </c>
      <c r="D234" s="9" t="s">
        <v>81</v>
      </c>
      <c r="E234" s="12" t="s">
        <v>26</v>
      </c>
      <c r="F234" s="66">
        <f>29791.2+709.9</f>
        <v>30501.100000000002</v>
      </c>
      <c r="G234" s="66">
        <f>27233.9+1001.3</f>
        <v>28235.200000000001</v>
      </c>
      <c r="H234" s="66">
        <f>26228.2+964.4</f>
        <v>27192.600000000002</v>
      </c>
    </row>
    <row r="235" spans="1:8" ht="51.95" customHeight="1" x14ac:dyDescent="0.2">
      <c r="A235" s="9" t="s">
        <v>171</v>
      </c>
      <c r="B235" s="9" t="s">
        <v>13</v>
      </c>
      <c r="C235" s="9"/>
      <c r="D235" s="9"/>
      <c r="E235" s="10" t="s">
        <v>173</v>
      </c>
      <c r="F235" s="66">
        <f t="shared" ref="F235:H236" si="57">F236</f>
        <v>3389.0176500000002</v>
      </c>
      <c r="G235" s="66">
        <f t="shared" si="57"/>
        <v>3137.27187</v>
      </c>
      <c r="H235" s="66">
        <f t="shared" si="57"/>
        <v>3021.4719800000003</v>
      </c>
    </row>
    <row r="236" spans="1:8" ht="33.75" customHeight="1" x14ac:dyDescent="0.2">
      <c r="A236" s="9" t="s">
        <v>171</v>
      </c>
      <c r="B236" s="9" t="s">
        <v>21</v>
      </c>
      <c r="C236" s="9"/>
      <c r="D236" s="9"/>
      <c r="E236" s="12" t="s">
        <v>22</v>
      </c>
      <c r="F236" s="66">
        <f t="shared" si="57"/>
        <v>3389.0176500000002</v>
      </c>
      <c r="G236" s="66">
        <f t="shared" si="57"/>
        <v>3137.27187</v>
      </c>
      <c r="H236" s="66">
        <f t="shared" si="57"/>
        <v>3021.4719800000003</v>
      </c>
    </row>
    <row r="237" spans="1:8" ht="24.75" customHeight="1" x14ac:dyDescent="0.2">
      <c r="A237" s="9" t="s">
        <v>171</v>
      </c>
      <c r="B237" s="9" t="s">
        <v>23</v>
      </c>
      <c r="C237" s="9" t="s">
        <v>24</v>
      </c>
      <c r="D237" s="9" t="s">
        <v>81</v>
      </c>
      <c r="E237" s="12" t="s">
        <v>26</v>
      </c>
      <c r="F237" s="66">
        <f>2956.3+353.8+78.91765</f>
        <v>3389.0176500000002</v>
      </c>
      <c r="G237" s="66">
        <f>2956.3+69.7+111.27187</f>
        <v>3137.27187</v>
      </c>
      <c r="H237" s="66">
        <f>2956.3-42+107.17198</f>
        <v>3021.4719800000003</v>
      </c>
    </row>
    <row r="238" spans="1:8" ht="32.25" customHeight="1" x14ac:dyDescent="0.2">
      <c r="A238" s="9" t="s">
        <v>174</v>
      </c>
      <c r="B238" s="9" t="s">
        <v>13</v>
      </c>
      <c r="C238" s="9"/>
      <c r="D238" s="9"/>
      <c r="E238" s="10" t="s">
        <v>175</v>
      </c>
      <c r="F238" s="66">
        <f t="shared" ref="F238:H239" si="58">F239</f>
        <v>8216.5</v>
      </c>
      <c r="G238" s="66">
        <f t="shared" si="58"/>
        <v>5026.5</v>
      </c>
      <c r="H238" s="66">
        <f t="shared" si="58"/>
        <v>5026.5</v>
      </c>
    </row>
    <row r="239" spans="1:8" ht="36.950000000000003" customHeight="1" x14ac:dyDescent="0.2">
      <c r="A239" s="9" t="s">
        <v>174</v>
      </c>
      <c r="B239" s="9" t="s">
        <v>21</v>
      </c>
      <c r="C239" s="9"/>
      <c r="D239" s="9"/>
      <c r="E239" s="12" t="s">
        <v>22</v>
      </c>
      <c r="F239" s="66">
        <f t="shared" si="58"/>
        <v>8216.5</v>
      </c>
      <c r="G239" s="66">
        <f t="shared" si="58"/>
        <v>5026.5</v>
      </c>
      <c r="H239" s="66">
        <f t="shared" si="58"/>
        <v>5026.5</v>
      </c>
    </row>
    <row r="240" spans="1:8" ht="22.5" customHeight="1" x14ac:dyDescent="0.2">
      <c r="A240" s="9" t="s">
        <v>174</v>
      </c>
      <c r="B240" s="9" t="s">
        <v>23</v>
      </c>
      <c r="C240" s="9" t="s">
        <v>24</v>
      </c>
      <c r="D240" s="9" t="s">
        <v>106</v>
      </c>
      <c r="E240" s="12" t="s">
        <v>26</v>
      </c>
      <c r="F240" s="66">
        <f>5026.5+3190</f>
        <v>8216.5</v>
      </c>
      <c r="G240" s="66">
        <v>5026.5</v>
      </c>
      <c r="H240" s="66">
        <v>5026.5</v>
      </c>
    </row>
    <row r="241" spans="1:8" ht="37.5" customHeight="1" x14ac:dyDescent="0.2">
      <c r="A241" s="9" t="s">
        <v>176</v>
      </c>
      <c r="B241" s="9" t="s">
        <v>13</v>
      </c>
      <c r="C241" s="27"/>
      <c r="D241" s="9"/>
      <c r="E241" s="10" t="s">
        <v>177</v>
      </c>
      <c r="F241" s="69">
        <f>F242+F245+F248+F251+F254+F257+F260</f>
        <v>3189.68</v>
      </c>
      <c r="G241" s="69">
        <f>G242+G245+G248+G251+G254+G257+G260</f>
        <v>1265</v>
      </c>
      <c r="H241" s="69">
        <f>H242+H245+H248+H251+H254+H257+H260</f>
        <v>1265</v>
      </c>
    </row>
    <row r="242" spans="1:8" ht="51.95" customHeight="1" x14ac:dyDescent="0.2">
      <c r="A242" s="15" t="s">
        <v>178</v>
      </c>
      <c r="B242" s="15" t="s">
        <v>13</v>
      </c>
      <c r="C242" s="27"/>
      <c r="D242" s="9"/>
      <c r="E242" s="11" t="s">
        <v>179</v>
      </c>
      <c r="F242" s="67">
        <f t="shared" ref="F242:H243" si="59">F243</f>
        <v>293</v>
      </c>
      <c r="G242" s="66">
        <f t="shared" si="59"/>
        <v>0</v>
      </c>
      <c r="H242" s="66">
        <f t="shared" si="59"/>
        <v>0</v>
      </c>
    </row>
    <row r="243" spans="1:8" ht="37.5" customHeight="1" x14ac:dyDescent="0.2">
      <c r="A243" s="15" t="s">
        <v>178</v>
      </c>
      <c r="B243" s="15" t="s">
        <v>21</v>
      </c>
      <c r="C243" s="27"/>
      <c r="D243" s="9"/>
      <c r="E243" s="16" t="s">
        <v>22</v>
      </c>
      <c r="F243" s="67">
        <f t="shared" si="59"/>
        <v>293</v>
      </c>
      <c r="G243" s="66">
        <f t="shared" si="59"/>
        <v>0</v>
      </c>
      <c r="H243" s="66">
        <f t="shared" si="59"/>
        <v>0</v>
      </c>
    </row>
    <row r="244" spans="1:8" ht="24.95" customHeight="1" x14ac:dyDescent="0.2">
      <c r="A244" s="15" t="s">
        <v>178</v>
      </c>
      <c r="B244" s="15" t="s">
        <v>23</v>
      </c>
      <c r="C244" s="9" t="s">
        <v>24</v>
      </c>
      <c r="D244" s="9" t="s">
        <v>106</v>
      </c>
      <c r="E244" s="11" t="s">
        <v>26</v>
      </c>
      <c r="F244" s="67">
        <v>293</v>
      </c>
      <c r="G244" s="66">
        <v>0</v>
      </c>
      <c r="H244" s="66">
        <v>0</v>
      </c>
    </row>
    <row r="245" spans="1:8" ht="48" customHeight="1" x14ac:dyDescent="0.2">
      <c r="A245" s="15" t="s">
        <v>180</v>
      </c>
      <c r="B245" s="15" t="s">
        <v>13</v>
      </c>
      <c r="C245" s="27"/>
      <c r="D245" s="9"/>
      <c r="E245" s="11" t="s">
        <v>181</v>
      </c>
      <c r="F245" s="67">
        <f t="shared" ref="F245:H246" si="60">F246</f>
        <v>132.50899999999999</v>
      </c>
      <c r="G245" s="66">
        <f t="shared" si="60"/>
        <v>0</v>
      </c>
      <c r="H245" s="66">
        <f t="shared" si="60"/>
        <v>0</v>
      </c>
    </row>
    <row r="246" spans="1:8" ht="37.5" customHeight="1" x14ac:dyDescent="0.2">
      <c r="A246" s="15" t="s">
        <v>180</v>
      </c>
      <c r="B246" s="15" t="s">
        <v>21</v>
      </c>
      <c r="C246" s="27"/>
      <c r="D246" s="9"/>
      <c r="E246" s="16" t="s">
        <v>22</v>
      </c>
      <c r="F246" s="67">
        <f t="shared" si="60"/>
        <v>132.50899999999999</v>
      </c>
      <c r="G246" s="66">
        <f t="shared" si="60"/>
        <v>0</v>
      </c>
      <c r="H246" s="66">
        <f t="shared" si="60"/>
        <v>0</v>
      </c>
    </row>
    <row r="247" spans="1:8" ht="27.95" customHeight="1" x14ac:dyDescent="0.2">
      <c r="A247" s="15" t="s">
        <v>180</v>
      </c>
      <c r="B247" s="15" t="s">
        <v>23</v>
      </c>
      <c r="C247" s="9" t="s">
        <v>24</v>
      </c>
      <c r="D247" s="9" t="s">
        <v>106</v>
      </c>
      <c r="E247" s="11" t="s">
        <v>26</v>
      </c>
      <c r="F247" s="67">
        <v>132.50899999999999</v>
      </c>
      <c r="G247" s="66">
        <v>0</v>
      </c>
      <c r="H247" s="66">
        <v>0</v>
      </c>
    </row>
    <row r="248" spans="1:8" ht="71.099999999999994" customHeight="1" x14ac:dyDescent="0.2">
      <c r="A248" s="15" t="s">
        <v>182</v>
      </c>
      <c r="B248" s="15" t="s">
        <v>13</v>
      </c>
      <c r="C248" s="27"/>
      <c r="D248" s="9"/>
      <c r="E248" s="11" t="s">
        <v>183</v>
      </c>
      <c r="F248" s="67">
        <f t="shared" ref="F248:H249" si="61">F249</f>
        <v>334.79700000000003</v>
      </c>
      <c r="G248" s="66">
        <f t="shared" si="61"/>
        <v>0</v>
      </c>
      <c r="H248" s="66">
        <f t="shared" si="61"/>
        <v>0</v>
      </c>
    </row>
    <row r="249" spans="1:8" ht="37.5" customHeight="1" x14ac:dyDescent="0.2">
      <c r="A249" s="15" t="s">
        <v>182</v>
      </c>
      <c r="B249" s="15" t="s">
        <v>21</v>
      </c>
      <c r="C249" s="27"/>
      <c r="D249" s="9"/>
      <c r="E249" s="16" t="s">
        <v>22</v>
      </c>
      <c r="F249" s="67">
        <f t="shared" si="61"/>
        <v>334.79700000000003</v>
      </c>
      <c r="G249" s="66">
        <f t="shared" si="61"/>
        <v>0</v>
      </c>
      <c r="H249" s="66">
        <f t="shared" si="61"/>
        <v>0</v>
      </c>
    </row>
    <row r="250" spans="1:8" ht="32.1" customHeight="1" x14ac:dyDescent="0.2">
      <c r="A250" s="15" t="s">
        <v>182</v>
      </c>
      <c r="B250" s="15" t="s">
        <v>23</v>
      </c>
      <c r="C250" s="9" t="s">
        <v>24</v>
      </c>
      <c r="D250" s="9" t="s">
        <v>106</v>
      </c>
      <c r="E250" s="18" t="s">
        <v>26</v>
      </c>
      <c r="F250" s="67">
        <v>334.79700000000003</v>
      </c>
      <c r="G250" s="66">
        <v>0</v>
      </c>
      <c r="H250" s="66">
        <v>0</v>
      </c>
    </row>
    <row r="251" spans="1:8" ht="48.95" customHeight="1" x14ac:dyDescent="0.2">
      <c r="A251" s="15" t="s">
        <v>184</v>
      </c>
      <c r="B251" s="15" t="s">
        <v>13</v>
      </c>
      <c r="C251" s="27"/>
      <c r="D251" s="9"/>
      <c r="E251" s="11" t="s">
        <v>185</v>
      </c>
      <c r="F251" s="67">
        <f t="shared" ref="F251:H252" si="62">F252</f>
        <v>442.99599999999998</v>
      </c>
      <c r="G251" s="66">
        <f t="shared" si="62"/>
        <v>0</v>
      </c>
      <c r="H251" s="66">
        <f t="shared" si="62"/>
        <v>0</v>
      </c>
    </row>
    <row r="252" spans="1:8" ht="37.5" customHeight="1" x14ac:dyDescent="0.2">
      <c r="A252" s="15" t="s">
        <v>184</v>
      </c>
      <c r="B252" s="15" t="s">
        <v>21</v>
      </c>
      <c r="C252" s="27"/>
      <c r="D252" s="9"/>
      <c r="E252" s="16" t="s">
        <v>22</v>
      </c>
      <c r="F252" s="67">
        <f t="shared" si="62"/>
        <v>442.99599999999998</v>
      </c>
      <c r="G252" s="66">
        <f t="shared" si="62"/>
        <v>0</v>
      </c>
      <c r="H252" s="66">
        <f t="shared" si="62"/>
        <v>0</v>
      </c>
    </row>
    <row r="253" spans="1:8" ht="29.1" customHeight="1" x14ac:dyDescent="0.2">
      <c r="A253" s="15" t="s">
        <v>184</v>
      </c>
      <c r="B253" s="15" t="s">
        <v>23</v>
      </c>
      <c r="C253" s="9" t="s">
        <v>24</v>
      </c>
      <c r="D253" s="9" t="s">
        <v>106</v>
      </c>
      <c r="E253" s="11" t="s">
        <v>26</v>
      </c>
      <c r="F253" s="67">
        <v>442.99599999999998</v>
      </c>
      <c r="G253" s="66">
        <v>0</v>
      </c>
      <c r="H253" s="66">
        <v>0</v>
      </c>
    </row>
    <row r="254" spans="1:8" ht="71.099999999999994" customHeight="1" x14ac:dyDescent="0.2">
      <c r="A254" s="15" t="s">
        <v>850</v>
      </c>
      <c r="B254" s="15" t="s">
        <v>13</v>
      </c>
      <c r="C254" s="27"/>
      <c r="D254" s="9"/>
      <c r="E254" s="11" t="s">
        <v>186</v>
      </c>
      <c r="F254" s="67">
        <f t="shared" ref="F254:H255" si="63">F255</f>
        <v>225.47800000000001</v>
      </c>
      <c r="G254" s="66">
        <f t="shared" si="63"/>
        <v>0</v>
      </c>
      <c r="H254" s="66">
        <f t="shared" si="63"/>
        <v>0</v>
      </c>
    </row>
    <row r="255" spans="1:8" ht="37.5" customHeight="1" x14ac:dyDescent="0.2">
      <c r="A255" s="15" t="s">
        <v>850</v>
      </c>
      <c r="B255" s="15" t="s">
        <v>21</v>
      </c>
      <c r="C255" s="27"/>
      <c r="D255" s="9"/>
      <c r="E255" s="16" t="s">
        <v>22</v>
      </c>
      <c r="F255" s="67">
        <f t="shared" si="63"/>
        <v>225.47800000000001</v>
      </c>
      <c r="G255" s="66">
        <f t="shared" si="63"/>
        <v>0</v>
      </c>
      <c r="H255" s="66">
        <f t="shared" si="63"/>
        <v>0</v>
      </c>
    </row>
    <row r="256" spans="1:8" ht="29.1" customHeight="1" x14ac:dyDescent="0.2">
      <c r="A256" s="15" t="s">
        <v>850</v>
      </c>
      <c r="B256" s="15" t="s">
        <v>23</v>
      </c>
      <c r="C256" s="9" t="s">
        <v>24</v>
      </c>
      <c r="D256" s="9" t="s">
        <v>106</v>
      </c>
      <c r="E256" s="11" t="s">
        <v>26</v>
      </c>
      <c r="F256" s="67">
        <v>225.47800000000001</v>
      </c>
      <c r="G256" s="66">
        <v>0</v>
      </c>
      <c r="H256" s="66">
        <v>0</v>
      </c>
    </row>
    <row r="257" spans="1:8" ht="39.950000000000003" customHeight="1" x14ac:dyDescent="0.2">
      <c r="A257" s="9" t="s">
        <v>187</v>
      </c>
      <c r="B257" s="9" t="s">
        <v>13</v>
      </c>
      <c r="C257" s="9"/>
      <c r="D257" s="9"/>
      <c r="E257" s="10" t="s">
        <v>188</v>
      </c>
      <c r="F257" s="69">
        <f t="shared" ref="F257:H258" si="64">F258</f>
        <v>1441.8</v>
      </c>
      <c r="G257" s="69">
        <f t="shared" si="64"/>
        <v>800</v>
      </c>
      <c r="H257" s="69">
        <f t="shared" si="64"/>
        <v>800</v>
      </c>
    </row>
    <row r="258" spans="1:8" ht="35.25" customHeight="1" x14ac:dyDescent="0.2">
      <c r="A258" s="9" t="s">
        <v>187</v>
      </c>
      <c r="B258" s="9" t="s">
        <v>61</v>
      </c>
      <c r="C258" s="9"/>
      <c r="D258" s="9"/>
      <c r="E258" s="12" t="s">
        <v>62</v>
      </c>
      <c r="F258" s="69">
        <f t="shared" si="64"/>
        <v>1441.8</v>
      </c>
      <c r="G258" s="69">
        <f t="shared" si="64"/>
        <v>800</v>
      </c>
      <c r="H258" s="69">
        <f t="shared" si="64"/>
        <v>800</v>
      </c>
    </row>
    <row r="259" spans="1:8" ht="34.5" customHeight="1" x14ac:dyDescent="0.2">
      <c r="A259" s="9" t="s">
        <v>187</v>
      </c>
      <c r="B259" s="9" t="s">
        <v>63</v>
      </c>
      <c r="C259" s="9" t="s">
        <v>24</v>
      </c>
      <c r="D259" s="9" t="s">
        <v>106</v>
      </c>
      <c r="E259" s="10" t="s">
        <v>65</v>
      </c>
      <c r="F259" s="69">
        <f>1065+376.8</f>
        <v>1441.8</v>
      </c>
      <c r="G259" s="69">
        <v>800</v>
      </c>
      <c r="H259" s="69">
        <v>800</v>
      </c>
    </row>
    <row r="260" spans="1:8" ht="24" customHeight="1" x14ac:dyDescent="0.2">
      <c r="A260" s="9" t="s">
        <v>189</v>
      </c>
      <c r="B260" s="9" t="s">
        <v>13</v>
      </c>
      <c r="C260" s="9"/>
      <c r="D260" s="9"/>
      <c r="E260" s="10" t="s">
        <v>190</v>
      </c>
      <c r="F260" s="69">
        <f t="shared" ref="F260:H261" si="65">F261</f>
        <v>319.10000000000002</v>
      </c>
      <c r="G260" s="69">
        <f t="shared" si="65"/>
        <v>465</v>
      </c>
      <c r="H260" s="69">
        <f t="shared" si="65"/>
        <v>465</v>
      </c>
    </row>
    <row r="261" spans="1:8" ht="33.75" customHeight="1" x14ac:dyDescent="0.2">
      <c r="A261" s="9" t="s">
        <v>189</v>
      </c>
      <c r="B261" s="9" t="s">
        <v>61</v>
      </c>
      <c r="C261" s="9"/>
      <c r="D261" s="9"/>
      <c r="E261" s="12" t="s">
        <v>62</v>
      </c>
      <c r="F261" s="69">
        <f t="shared" si="65"/>
        <v>319.10000000000002</v>
      </c>
      <c r="G261" s="69">
        <f t="shared" si="65"/>
        <v>465</v>
      </c>
      <c r="H261" s="69">
        <f t="shared" si="65"/>
        <v>465</v>
      </c>
    </row>
    <row r="262" spans="1:8" ht="39.950000000000003" customHeight="1" x14ac:dyDescent="0.2">
      <c r="A262" s="9" t="s">
        <v>189</v>
      </c>
      <c r="B262" s="9" t="s">
        <v>63</v>
      </c>
      <c r="C262" s="9" t="s">
        <v>24</v>
      </c>
      <c r="D262" s="9" t="s">
        <v>81</v>
      </c>
      <c r="E262" s="10" t="s">
        <v>65</v>
      </c>
      <c r="F262" s="69">
        <f>465-145.9</f>
        <v>319.10000000000002</v>
      </c>
      <c r="G262" s="69">
        <v>465</v>
      </c>
      <c r="H262" s="69">
        <v>465</v>
      </c>
    </row>
    <row r="263" spans="1:8" ht="26.1" customHeight="1" x14ac:dyDescent="0.2">
      <c r="A263" s="9" t="s">
        <v>191</v>
      </c>
      <c r="B263" s="9" t="s">
        <v>13</v>
      </c>
      <c r="C263" s="9"/>
      <c r="D263" s="9"/>
      <c r="E263" s="10" t="s">
        <v>192</v>
      </c>
      <c r="F263" s="69">
        <f>F264</f>
        <v>37671.299999999996</v>
      </c>
      <c r="G263" s="69">
        <f>G264</f>
        <v>37594.749999999993</v>
      </c>
      <c r="H263" s="69">
        <f>H264</f>
        <v>37594.749999999993</v>
      </c>
    </row>
    <row r="264" spans="1:8" ht="48.95" customHeight="1" x14ac:dyDescent="0.2">
      <c r="A264" s="9" t="s">
        <v>193</v>
      </c>
      <c r="B264" s="9" t="s">
        <v>13</v>
      </c>
      <c r="C264" s="9"/>
      <c r="D264" s="9"/>
      <c r="E264" s="10" t="s">
        <v>194</v>
      </c>
      <c r="F264" s="69">
        <f>F265+F269+F273+F277+F286+F283+F280</f>
        <v>37671.299999999996</v>
      </c>
      <c r="G264" s="69">
        <f t="shared" ref="G264:H264" si="66">G265+G269+G273+G277+G286+G283+G280</f>
        <v>37594.749999999993</v>
      </c>
      <c r="H264" s="69">
        <f t="shared" si="66"/>
        <v>37594.749999999993</v>
      </c>
    </row>
    <row r="265" spans="1:8" ht="50.1" customHeight="1" x14ac:dyDescent="0.2">
      <c r="A265" s="9" t="s">
        <v>195</v>
      </c>
      <c r="B265" s="9" t="s">
        <v>13</v>
      </c>
      <c r="C265" s="9"/>
      <c r="D265" s="9"/>
      <c r="E265" s="10" t="s">
        <v>196</v>
      </c>
      <c r="F265" s="66">
        <f>F266</f>
        <v>14114</v>
      </c>
      <c r="G265" s="66">
        <f>G266</f>
        <v>14114</v>
      </c>
      <c r="H265" s="66">
        <f>H266</f>
        <v>14114</v>
      </c>
    </row>
    <row r="266" spans="1:8" ht="35.25" customHeight="1" x14ac:dyDescent="0.2">
      <c r="A266" s="9" t="s">
        <v>195</v>
      </c>
      <c r="B266" s="9" t="s">
        <v>21</v>
      </c>
      <c r="C266" s="9"/>
      <c r="D266" s="9"/>
      <c r="E266" s="12" t="s">
        <v>22</v>
      </c>
      <c r="F266" s="66">
        <f>F267+F268</f>
        <v>14114</v>
      </c>
      <c r="G266" s="66">
        <f>G267+G268</f>
        <v>14114</v>
      </c>
      <c r="H266" s="66">
        <f>H267+H268</f>
        <v>14114</v>
      </c>
    </row>
    <row r="267" spans="1:8" ht="21" customHeight="1" x14ac:dyDescent="0.2">
      <c r="A267" s="9" t="s">
        <v>195</v>
      </c>
      <c r="B267" s="9" t="s">
        <v>23</v>
      </c>
      <c r="C267" s="9" t="s">
        <v>24</v>
      </c>
      <c r="D267" s="9" t="s">
        <v>197</v>
      </c>
      <c r="E267" s="12" t="s">
        <v>26</v>
      </c>
      <c r="F267" s="89">
        <f>6224-30.3+1208.3</f>
        <v>7402</v>
      </c>
      <c r="G267" s="89">
        <f>6224-30.3+1208.3</f>
        <v>7402</v>
      </c>
      <c r="H267" s="89">
        <f>6224-30.3+1208.3</f>
        <v>7402</v>
      </c>
    </row>
    <row r="268" spans="1:8" ht="20.25" customHeight="1" x14ac:dyDescent="0.2">
      <c r="A268" s="9" t="s">
        <v>195</v>
      </c>
      <c r="B268" s="9" t="s">
        <v>23</v>
      </c>
      <c r="C268" s="9" t="s">
        <v>24</v>
      </c>
      <c r="D268" s="9" t="s">
        <v>198</v>
      </c>
      <c r="E268" s="12" t="s">
        <v>26</v>
      </c>
      <c r="F268" s="89">
        <f>3941.9+2770.1</f>
        <v>6712</v>
      </c>
      <c r="G268" s="89">
        <f>3941.9+2770.1</f>
        <v>6712</v>
      </c>
      <c r="H268" s="89">
        <f>3941.9+2770.1</f>
        <v>6712</v>
      </c>
    </row>
    <row r="269" spans="1:8" ht="41.25" customHeight="1" x14ac:dyDescent="0.2">
      <c r="A269" s="84" t="s">
        <v>869</v>
      </c>
      <c r="B269" s="78" t="s">
        <v>13</v>
      </c>
      <c r="C269" s="64"/>
      <c r="D269" s="64"/>
      <c r="E269" s="85" t="s">
        <v>863</v>
      </c>
      <c r="F269" s="86">
        <f>F270</f>
        <v>89</v>
      </c>
      <c r="G269" s="77">
        <f>G271</f>
        <v>0</v>
      </c>
      <c r="H269" s="77">
        <f>H271</f>
        <v>0</v>
      </c>
    </row>
    <row r="270" spans="1:8" ht="42.75" customHeight="1" x14ac:dyDescent="0.2">
      <c r="A270" s="84" t="s">
        <v>869</v>
      </c>
      <c r="B270" s="78" t="s">
        <v>21</v>
      </c>
      <c r="C270" s="64"/>
      <c r="D270" s="64"/>
      <c r="E270" s="85" t="s">
        <v>22</v>
      </c>
      <c r="F270" s="86">
        <f>F271+F272</f>
        <v>89</v>
      </c>
      <c r="G270" s="77">
        <f>G271</f>
        <v>0</v>
      </c>
      <c r="H270" s="77">
        <f>H271</f>
        <v>0</v>
      </c>
    </row>
    <row r="271" spans="1:8" ht="30" customHeight="1" x14ac:dyDescent="0.2">
      <c r="A271" s="84" t="s">
        <v>869</v>
      </c>
      <c r="B271" s="78" t="s">
        <v>23</v>
      </c>
      <c r="C271" s="9" t="s">
        <v>24</v>
      </c>
      <c r="D271" s="9" t="s">
        <v>197</v>
      </c>
      <c r="E271" s="87" t="s">
        <v>26</v>
      </c>
      <c r="F271" s="88">
        <v>44.5</v>
      </c>
      <c r="G271" s="89">
        <v>0</v>
      </c>
      <c r="H271" s="89">
        <v>0</v>
      </c>
    </row>
    <row r="272" spans="1:8" ht="30" customHeight="1" x14ac:dyDescent="0.2">
      <c r="A272" s="84" t="s">
        <v>869</v>
      </c>
      <c r="B272" s="78" t="s">
        <v>23</v>
      </c>
      <c r="C272" s="9" t="s">
        <v>24</v>
      </c>
      <c r="D272" s="9" t="s">
        <v>198</v>
      </c>
      <c r="E272" s="87" t="s">
        <v>26</v>
      </c>
      <c r="F272" s="88">
        <v>44.5</v>
      </c>
      <c r="G272" s="89">
        <v>0</v>
      </c>
      <c r="H272" s="89">
        <v>0</v>
      </c>
    </row>
    <row r="273" spans="1:8" ht="51.75" customHeight="1" x14ac:dyDescent="0.2">
      <c r="A273" s="84" t="s">
        <v>870</v>
      </c>
      <c r="B273" s="78" t="s">
        <v>13</v>
      </c>
      <c r="C273" s="64"/>
      <c r="D273" s="64"/>
      <c r="E273" s="85" t="s">
        <v>864</v>
      </c>
      <c r="F273" s="86">
        <f>F274</f>
        <v>0.8</v>
      </c>
      <c r="G273" s="77">
        <f>G275</f>
        <v>0</v>
      </c>
      <c r="H273" s="77">
        <f>H275</f>
        <v>0</v>
      </c>
    </row>
    <row r="274" spans="1:8" ht="36.75" customHeight="1" x14ac:dyDescent="0.2">
      <c r="A274" s="84" t="s">
        <v>870</v>
      </c>
      <c r="B274" s="78" t="s">
        <v>21</v>
      </c>
      <c r="C274" s="64"/>
      <c r="D274" s="64"/>
      <c r="E274" s="85" t="s">
        <v>22</v>
      </c>
      <c r="F274" s="86">
        <f>F275+F276</f>
        <v>0.8</v>
      </c>
      <c r="G274" s="77">
        <f>G275</f>
        <v>0</v>
      </c>
      <c r="H274" s="77">
        <f>H275</f>
        <v>0</v>
      </c>
    </row>
    <row r="275" spans="1:8" ht="30" customHeight="1" x14ac:dyDescent="0.2">
      <c r="A275" s="84" t="s">
        <v>870</v>
      </c>
      <c r="B275" s="78" t="s">
        <v>23</v>
      </c>
      <c r="C275" s="9" t="s">
        <v>24</v>
      </c>
      <c r="D275" s="9" t="s">
        <v>197</v>
      </c>
      <c r="E275" s="87" t="s">
        <v>26</v>
      </c>
      <c r="F275" s="88">
        <v>0.4</v>
      </c>
      <c r="G275" s="89">
        <v>0</v>
      </c>
      <c r="H275" s="89">
        <v>0</v>
      </c>
    </row>
    <row r="276" spans="1:8" ht="30" customHeight="1" x14ac:dyDescent="0.2">
      <c r="A276" s="84" t="s">
        <v>870</v>
      </c>
      <c r="B276" s="78" t="s">
        <v>23</v>
      </c>
      <c r="C276" s="9" t="s">
        <v>24</v>
      </c>
      <c r="D276" s="9" t="s">
        <v>198</v>
      </c>
      <c r="E276" s="87" t="s">
        <v>26</v>
      </c>
      <c r="F276" s="88">
        <v>0.4</v>
      </c>
      <c r="G276" s="89">
        <v>0</v>
      </c>
      <c r="H276" s="89">
        <v>0</v>
      </c>
    </row>
    <row r="277" spans="1:8" ht="51" customHeight="1" x14ac:dyDescent="0.2">
      <c r="A277" s="9" t="s">
        <v>199</v>
      </c>
      <c r="B277" s="9" t="s">
        <v>13</v>
      </c>
      <c r="C277" s="9"/>
      <c r="D277" s="9"/>
      <c r="E277" s="12" t="s">
        <v>200</v>
      </c>
      <c r="F277" s="66">
        <f t="shared" ref="F277:H278" si="67">F278</f>
        <v>2631.0819999999999</v>
      </c>
      <c r="G277" s="66">
        <f t="shared" si="67"/>
        <v>2639.0819999999999</v>
      </c>
      <c r="H277" s="66">
        <f t="shared" si="67"/>
        <v>2639.0819999999999</v>
      </c>
    </row>
    <row r="278" spans="1:8" ht="33.75" customHeight="1" x14ac:dyDescent="0.2">
      <c r="A278" s="9" t="s">
        <v>199</v>
      </c>
      <c r="B278" s="9" t="s">
        <v>21</v>
      </c>
      <c r="C278" s="9"/>
      <c r="D278" s="9"/>
      <c r="E278" s="12" t="s">
        <v>22</v>
      </c>
      <c r="F278" s="66">
        <f t="shared" si="67"/>
        <v>2631.0819999999999</v>
      </c>
      <c r="G278" s="66">
        <f t="shared" si="67"/>
        <v>2639.0819999999999</v>
      </c>
      <c r="H278" s="66">
        <f t="shared" si="67"/>
        <v>2639.0819999999999</v>
      </c>
    </row>
    <row r="279" spans="1:8" s="3" customFormat="1" ht="19.5" customHeight="1" x14ac:dyDescent="0.2">
      <c r="A279" s="9" t="s">
        <v>199</v>
      </c>
      <c r="B279" s="9" t="s">
        <v>23</v>
      </c>
      <c r="C279" s="9" t="s">
        <v>24</v>
      </c>
      <c r="D279" s="9" t="s">
        <v>197</v>
      </c>
      <c r="E279" s="12" t="s">
        <v>26</v>
      </c>
      <c r="F279" s="77">
        <f>2411+224-0.4-3.518</f>
        <v>2631.0819999999999</v>
      </c>
      <c r="G279" s="77">
        <f>2411+224+4.082</f>
        <v>2639.0819999999999</v>
      </c>
      <c r="H279" s="77">
        <f>2411+224+4.082</f>
        <v>2639.0819999999999</v>
      </c>
    </row>
    <row r="280" spans="1:8" s="3" customFormat="1" ht="51" customHeight="1" x14ac:dyDescent="0.2">
      <c r="A280" s="9" t="s">
        <v>201</v>
      </c>
      <c r="B280" s="9" t="s">
        <v>13</v>
      </c>
      <c r="C280" s="9"/>
      <c r="D280" s="9"/>
      <c r="E280" s="12" t="s">
        <v>202</v>
      </c>
      <c r="F280" s="66">
        <f t="shared" ref="F280:H281" si="68">F281</f>
        <v>8045.2</v>
      </c>
      <c r="G280" s="66">
        <f t="shared" si="68"/>
        <v>8045.2</v>
      </c>
      <c r="H280" s="66">
        <f t="shared" si="68"/>
        <v>8045.2</v>
      </c>
    </row>
    <row r="281" spans="1:8" s="3" customFormat="1" ht="38.1" customHeight="1" x14ac:dyDescent="0.2">
      <c r="A281" s="9" t="s">
        <v>201</v>
      </c>
      <c r="B281" s="9" t="s">
        <v>21</v>
      </c>
      <c r="C281" s="9"/>
      <c r="D281" s="9"/>
      <c r="E281" s="12" t="s">
        <v>22</v>
      </c>
      <c r="F281" s="66">
        <f t="shared" si="68"/>
        <v>8045.2</v>
      </c>
      <c r="G281" s="66">
        <f t="shared" si="68"/>
        <v>8045.2</v>
      </c>
      <c r="H281" s="66">
        <f t="shared" si="68"/>
        <v>8045.2</v>
      </c>
    </row>
    <row r="282" spans="1:8" s="3" customFormat="1" ht="19.5" customHeight="1" x14ac:dyDescent="0.2">
      <c r="A282" s="9" t="s">
        <v>201</v>
      </c>
      <c r="B282" s="9" t="s">
        <v>23</v>
      </c>
      <c r="C282" s="9" t="s">
        <v>24</v>
      </c>
      <c r="D282" s="9" t="s">
        <v>197</v>
      </c>
      <c r="E282" s="12" t="s">
        <v>26</v>
      </c>
      <c r="F282" s="66">
        <f>7395.7+649.5</f>
        <v>8045.2</v>
      </c>
      <c r="G282" s="66">
        <v>8045.2</v>
      </c>
      <c r="H282" s="66">
        <v>8045.2</v>
      </c>
    </row>
    <row r="283" spans="1:8" s="3" customFormat="1" ht="51.95" customHeight="1" x14ac:dyDescent="0.2">
      <c r="A283" s="9" t="s">
        <v>203</v>
      </c>
      <c r="B283" s="9" t="s">
        <v>13</v>
      </c>
      <c r="C283" s="9"/>
      <c r="D283" s="9"/>
      <c r="E283" s="10" t="s">
        <v>204</v>
      </c>
      <c r="F283" s="69">
        <f>F285</f>
        <v>12648.652000000002</v>
      </c>
      <c r="G283" s="69">
        <f>G285</f>
        <v>12653.902</v>
      </c>
      <c r="H283" s="69">
        <f>H285</f>
        <v>12653.902</v>
      </c>
    </row>
    <row r="284" spans="1:8" s="3" customFormat="1" ht="38.1" customHeight="1" x14ac:dyDescent="0.2">
      <c r="A284" s="9" t="s">
        <v>203</v>
      </c>
      <c r="B284" s="9" t="s">
        <v>21</v>
      </c>
      <c r="C284" s="9"/>
      <c r="D284" s="9"/>
      <c r="E284" s="12" t="s">
        <v>22</v>
      </c>
      <c r="F284" s="69">
        <f>F285</f>
        <v>12648.652000000002</v>
      </c>
      <c r="G284" s="69">
        <f>G285</f>
        <v>12653.902</v>
      </c>
      <c r="H284" s="69">
        <f>H285</f>
        <v>12653.902</v>
      </c>
    </row>
    <row r="285" spans="1:8" s="3" customFormat="1" ht="23.25" customHeight="1" x14ac:dyDescent="0.2">
      <c r="A285" s="9" t="s">
        <v>203</v>
      </c>
      <c r="B285" s="9" t="s">
        <v>23</v>
      </c>
      <c r="C285" s="9" t="s">
        <v>24</v>
      </c>
      <c r="D285" s="9" t="s">
        <v>198</v>
      </c>
      <c r="E285" s="12" t="s">
        <v>26</v>
      </c>
      <c r="F285" s="81">
        <f>11001.5+1670.2-0.4-22.648</f>
        <v>12648.652000000002</v>
      </c>
      <c r="G285" s="81">
        <f>11001.5+1670.2-17.798</f>
        <v>12653.902</v>
      </c>
      <c r="H285" s="81">
        <f>11001.5+1670.2-17.798</f>
        <v>12653.902</v>
      </c>
    </row>
    <row r="286" spans="1:8" s="3" customFormat="1" ht="51.95" customHeight="1" x14ac:dyDescent="0.2">
      <c r="A286" s="9" t="s">
        <v>205</v>
      </c>
      <c r="B286" s="9" t="s">
        <v>13</v>
      </c>
      <c r="C286" s="9"/>
      <c r="D286" s="9"/>
      <c r="E286" s="10" t="s">
        <v>206</v>
      </c>
      <c r="F286" s="66">
        <f>F287</f>
        <v>142.566</v>
      </c>
      <c r="G286" s="66">
        <f>G287</f>
        <v>142.566</v>
      </c>
      <c r="H286" s="66">
        <f>H287</f>
        <v>142.566</v>
      </c>
    </row>
    <row r="287" spans="1:8" s="3" customFormat="1" ht="36" customHeight="1" x14ac:dyDescent="0.2">
      <c r="A287" s="9" t="s">
        <v>205</v>
      </c>
      <c r="B287" s="9" t="s">
        <v>21</v>
      </c>
      <c r="C287" s="9"/>
      <c r="D287" s="9"/>
      <c r="E287" s="12" t="s">
        <v>22</v>
      </c>
      <c r="F287" s="66">
        <f>F288+F289</f>
        <v>142.566</v>
      </c>
      <c r="G287" s="66">
        <f>G288+G289</f>
        <v>142.566</v>
      </c>
      <c r="H287" s="66">
        <f>H288+H289</f>
        <v>142.566</v>
      </c>
    </row>
    <row r="288" spans="1:8" s="3" customFormat="1" ht="24" customHeight="1" x14ac:dyDescent="0.2">
      <c r="A288" s="9" t="s">
        <v>205</v>
      </c>
      <c r="B288" s="9" t="s">
        <v>23</v>
      </c>
      <c r="C288" s="9" t="s">
        <v>24</v>
      </c>
      <c r="D288" s="9" t="s">
        <v>197</v>
      </c>
      <c r="E288" s="12" t="s">
        <v>26</v>
      </c>
      <c r="F288" s="77">
        <f>71.25+3.518</f>
        <v>74.768000000000001</v>
      </c>
      <c r="G288" s="77">
        <f>78.85-4.082</f>
        <v>74.768000000000001</v>
      </c>
      <c r="H288" s="77">
        <f>78.85-4.082</f>
        <v>74.768000000000001</v>
      </c>
    </row>
    <row r="289" spans="1:8" s="3" customFormat="1" ht="24" customHeight="1" x14ac:dyDescent="0.2">
      <c r="A289" s="9" t="s">
        <v>205</v>
      </c>
      <c r="B289" s="9" t="s">
        <v>23</v>
      </c>
      <c r="C289" s="9" t="s">
        <v>24</v>
      </c>
      <c r="D289" s="9" t="s">
        <v>198</v>
      </c>
      <c r="E289" s="12" t="s">
        <v>26</v>
      </c>
      <c r="F289" s="77">
        <f>45.15+22.648</f>
        <v>67.798000000000002</v>
      </c>
      <c r="G289" s="77">
        <f>50+17.798</f>
        <v>67.798000000000002</v>
      </c>
      <c r="H289" s="77">
        <f>50+17.798</f>
        <v>67.798000000000002</v>
      </c>
    </row>
    <row r="290" spans="1:8" ht="48.95" customHeight="1" x14ac:dyDescent="0.2">
      <c r="A290" s="9" t="s">
        <v>207</v>
      </c>
      <c r="B290" s="9" t="s">
        <v>13</v>
      </c>
      <c r="C290" s="9"/>
      <c r="D290" s="9"/>
      <c r="E290" s="10" t="s">
        <v>208</v>
      </c>
      <c r="F290" s="69">
        <f>F291+F295</f>
        <v>12403.31</v>
      </c>
      <c r="G290" s="69">
        <f>G291+G295</f>
        <v>12210</v>
      </c>
      <c r="H290" s="69">
        <f>H291+H295</f>
        <v>12210</v>
      </c>
    </row>
    <row r="291" spans="1:8" ht="26.1" customHeight="1" x14ac:dyDescent="0.2">
      <c r="A291" s="9" t="s">
        <v>209</v>
      </c>
      <c r="B291" s="9" t="s">
        <v>13</v>
      </c>
      <c r="C291" s="9"/>
      <c r="D291" s="9"/>
      <c r="E291" s="10" t="s">
        <v>210</v>
      </c>
      <c r="F291" s="66">
        <f>F292</f>
        <v>549.1</v>
      </c>
      <c r="G291" s="66">
        <f>G292</f>
        <v>780</v>
      </c>
      <c r="H291" s="66">
        <f>H292</f>
        <v>780</v>
      </c>
    </row>
    <row r="292" spans="1:8" ht="39" customHeight="1" x14ac:dyDescent="0.2">
      <c r="A292" s="9" t="s">
        <v>211</v>
      </c>
      <c r="B292" s="9" t="s">
        <v>13</v>
      </c>
      <c r="C292" s="9"/>
      <c r="D292" s="9"/>
      <c r="E292" s="10" t="s">
        <v>212</v>
      </c>
      <c r="F292" s="66">
        <f t="shared" ref="F292:H293" si="69">F293</f>
        <v>549.1</v>
      </c>
      <c r="G292" s="66">
        <f t="shared" si="69"/>
        <v>780</v>
      </c>
      <c r="H292" s="66">
        <f t="shared" si="69"/>
        <v>780</v>
      </c>
    </row>
    <row r="293" spans="1:8" ht="32.25" customHeight="1" x14ac:dyDescent="0.2">
      <c r="A293" s="9" t="s">
        <v>211</v>
      </c>
      <c r="B293" s="9" t="s">
        <v>61</v>
      </c>
      <c r="C293" s="9"/>
      <c r="D293" s="9"/>
      <c r="E293" s="12" t="s">
        <v>62</v>
      </c>
      <c r="F293" s="66">
        <f t="shared" si="69"/>
        <v>549.1</v>
      </c>
      <c r="G293" s="66">
        <f t="shared" si="69"/>
        <v>780</v>
      </c>
      <c r="H293" s="66">
        <f t="shared" si="69"/>
        <v>780</v>
      </c>
    </row>
    <row r="294" spans="1:8" ht="36" customHeight="1" x14ac:dyDescent="0.2">
      <c r="A294" s="9" t="s">
        <v>211</v>
      </c>
      <c r="B294" s="9" t="s">
        <v>63</v>
      </c>
      <c r="C294" s="9" t="s">
        <v>24</v>
      </c>
      <c r="D294" s="9" t="s">
        <v>106</v>
      </c>
      <c r="E294" s="10" t="s">
        <v>65</v>
      </c>
      <c r="F294" s="66">
        <f>780-230.9</f>
        <v>549.1</v>
      </c>
      <c r="G294" s="66">
        <v>780</v>
      </c>
      <c r="H294" s="66">
        <v>780</v>
      </c>
    </row>
    <row r="295" spans="1:8" ht="35.1" customHeight="1" x14ac:dyDescent="0.2">
      <c r="A295" s="9" t="s">
        <v>213</v>
      </c>
      <c r="B295" s="9" t="s">
        <v>13</v>
      </c>
      <c r="C295" s="9"/>
      <c r="D295" s="9"/>
      <c r="E295" s="12" t="s">
        <v>214</v>
      </c>
      <c r="F295" s="69">
        <f>F296+F300</f>
        <v>11854.21</v>
      </c>
      <c r="G295" s="69">
        <f>G296+G300</f>
        <v>11430</v>
      </c>
      <c r="H295" s="69">
        <f>H296+H300</f>
        <v>11430</v>
      </c>
    </row>
    <row r="296" spans="1:8" ht="96.95" customHeight="1" x14ac:dyDescent="0.2">
      <c r="A296" s="9" t="s">
        <v>215</v>
      </c>
      <c r="B296" s="9" t="s">
        <v>13</v>
      </c>
      <c r="C296" s="9"/>
      <c r="D296" s="9"/>
      <c r="E296" s="12" t="s">
        <v>216</v>
      </c>
      <c r="F296" s="66">
        <f>F298+F299</f>
        <v>11430</v>
      </c>
      <c r="G296" s="66">
        <f>G298+G299</f>
        <v>11430</v>
      </c>
      <c r="H296" s="66">
        <f>H298+H299</f>
        <v>11430</v>
      </c>
    </row>
    <row r="297" spans="1:8" ht="21" customHeight="1" x14ac:dyDescent="0.2">
      <c r="A297" s="9" t="s">
        <v>215</v>
      </c>
      <c r="B297" s="9" t="s">
        <v>217</v>
      </c>
      <c r="C297" s="9"/>
      <c r="D297" s="9"/>
      <c r="E297" s="12" t="s">
        <v>218</v>
      </c>
      <c r="F297" s="66">
        <f>F298+F299</f>
        <v>11430</v>
      </c>
      <c r="G297" s="66">
        <f>G298+G299</f>
        <v>11430</v>
      </c>
      <c r="H297" s="66">
        <f>H298+H299</f>
        <v>11430</v>
      </c>
    </row>
    <row r="298" spans="1:8" ht="34.5" customHeight="1" x14ac:dyDescent="0.2">
      <c r="A298" s="9" t="s">
        <v>215</v>
      </c>
      <c r="B298" s="28">
        <v>310</v>
      </c>
      <c r="C298" s="9" t="s">
        <v>219</v>
      </c>
      <c r="D298" s="9" t="s">
        <v>220</v>
      </c>
      <c r="E298" s="21" t="s">
        <v>221</v>
      </c>
      <c r="F298" s="70">
        <v>100</v>
      </c>
      <c r="G298" s="70">
        <v>100</v>
      </c>
      <c r="H298" s="70">
        <v>100</v>
      </c>
    </row>
    <row r="299" spans="1:8" ht="31.5" customHeight="1" x14ac:dyDescent="0.2">
      <c r="A299" s="9" t="s">
        <v>215</v>
      </c>
      <c r="B299" s="28">
        <v>310</v>
      </c>
      <c r="C299" s="9" t="s">
        <v>24</v>
      </c>
      <c r="D299" s="9" t="s">
        <v>220</v>
      </c>
      <c r="E299" s="21" t="s">
        <v>221</v>
      </c>
      <c r="F299" s="66">
        <v>11330</v>
      </c>
      <c r="G299" s="66">
        <v>11330</v>
      </c>
      <c r="H299" s="66">
        <v>11330</v>
      </c>
    </row>
    <row r="300" spans="1:8" ht="87" customHeight="1" x14ac:dyDescent="0.2">
      <c r="A300" s="15" t="s">
        <v>222</v>
      </c>
      <c r="B300" s="15" t="s">
        <v>13</v>
      </c>
      <c r="C300" s="9"/>
      <c r="D300" s="9"/>
      <c r="E300" s="21" t="s">
        <v>223</v>
      </c>
      <c r="F300" s="66">
        <f t="shared" ref="F300:H301" si="70">F301</f>
        <v>424.21</v>
      </c>
      <c r="G300" s="66">
        <f t="shared" si="70"/>
        <v>0</v>
      </c>
      <c r="H300" s="66">
        <f t="shared" si="70"/>
        <v>0</v>
      </c>
    </row>
    <row r="301" spans="1:8" ht="36.950000000000003" customHeight="1" x14ac:dyDescent="0.2">
      <c r="A301" s="15" t="s">
        <v>222</v>
      </c>
      <c r="B301" s="15" t="s">
        <v>21</v>
      </c>
      <c r="C301" s="9"/>
      <c r="D301" s="9"/>
      <c r="E301" s="12" t="s">
        <v>22</v>
      </c>
      <c r="F301" s="66">
        <f t="shared" si="70"/>
        <v>424.21</v>
      </c>
      <c r="G301" s="66">
        <f t="shared" si="70"/>
        <v>0</v>
      </c>
      <c r="H301" s="66">
        <f t="shared" si="70"/>
        <v>0</v>
      </c>
    </row>
    <row r="302" spans="1:8" ht="35.1" customHeight="1" x14ac:dyDescent="0.2">
      <c r="A302" s="15" t="s">
        <v>222</v>
      </c>
      <c r="B302" s="15" t="s">
        <v>23</v>
      </c>
      <c r="C302" s="9" t="s">
        <v>24</v>
      </c>
      <c r="D302" s="9" t="s">
        <v>220</v>
      </c>
      <c r="E302" s="21" t="s">
        <v>26</v>
      </c>
      <c r="F302" s="66">
        <v>424.21</v>
      </c>
      <c r="G302" s="66">
        <v>0</v>
      </c>
      <c r="H302" s="66">
        <v>0</v>
      </c>
    </row>
    <row r="303" spans="1:8" ht="33.950000000000003" customHeight="1" x14ac:dyDescent="0.2">
      <c r="A303" s="14" t="s">
        <v>224</v>
      </c>
      <c r="B303" s="14" t="s">
        <v>13</v>
      </c>
      <c r="C303" s="14"/>
      <c r="D303" s="14"/>
      <c r="E303" s="11" t="s">
        <v>225</v>
      </c>
      <c r="F303" s="66">
        <f>F304</f>
        <v>0</v>
      </c>
      <c r="G303" s="66">
        <f>G304</f>
        <v>0</v>
      </c>
      <c r="H303" s="66">
        <f>H304</f>
        <v>100000</v>
      </c>
    </row>
    <row r="304" spans="1:8" ht="35.1" customHeight="1" x14ac:dyDescent="0.2">
      <c r="A304" s="9" t="s">
        <v>226</v>
      </c>
      <c r="B304" s="9" t="s">
        <v>13</v>
      </c>
      <c r="C304" s="14"/>
      <c r="D304" s="14"/>
      <c r="E304" s="25" t="s">
        <v>227</v>
      </c>
      <c r="F304" s="66">
        <f>F305</f>
        <v>0</v>
      </c>
      <c r="G304" s="66">
        <f t="shared" ref="G304:H304" si="71">G305</f>
        <v>0</v>
      </c>
      <c r="H304" s="66">
        <f t="shared" si="71"/>
        <v>100000</v>
      </c>
    </row>
    <row r="305" spans="1:8" ht="41.1" customHeight="1" x14ac:dyDescent="0.2">
      <c r="A305" s="9" t="s">
        <v>232</v>
      </c>
      <c r="B305" s="15" t="s">
        <v>13</v>
      </c>
      <c r="C305" s="9"/>
      <c r="D305" s="9"/>
      <c r="E305" s="29" t="s">
        <v>233</v>
      </c>
      <c r="F305" s="66">
        <f t="shared" ref="F305:H306" si="72">F306</f>
        <v>0</v>
      </c>
      <c r="G305" s="66">
        <f t="shared" si="72"/>
        <v>0</v>
      </c>
      <c r="H305" s="66">
        <f t="shared" si="72"/>
        <v>100000</v>
      </c>
    </row>
    <row r="306" spans="1:8" ht="41.1" customHeight="1" x14ac:dyDescent="0.2">
      <c r="A306" s="9" t="s">
        <v>232</v>
      </c>
      <c r="B306" s="15" t="s">
        <v>228</v>
      </c>
      <c r="C306" s="9"/>
      <c r="D306" s="9"/>
      <c r="E306" s="22" t="s">
        <v>229</v>
      </c>
      <c r="F306" s="66">
        <f t="shared" si="72"/>
        <v>0</v>
      </c>
      <c r="G306" s="66">
        <f t="shared" si="72"/>
        <v>0</v>
      </c>
      <c r="H306" s="66">
        <f t="shared" si="72"/>
        <v>100000</v>
      </c>
    </row>
    <row r="307" spans="1:8" ht="24" customHeight="1" x14ac:dyDescent="0.2">
      <c r="A307" s="9" t="s">
        <v>232</v>
      </c>
      <c r="B307" s="15" t="s">
        <v>230</v>
      </c>
      <c r="C307" s="9" t="s">
        <v>64</v>
      </c>
      <c r="D307" s="9" t="s">
        <v>81</v>
      </c>
      <c r="E307" s="30" t="s">
        <v>231</v>
      </c>
      <c r="F307" s="66">
        <v>0</v>
      </c>
      <c r="G307" s="77">
        <f>100000-41000-59000</f>
        <v>0</v>
      </c>
      <c r="H307" s="66">
        <v>100000</v>
      </c>
    </row>
    <row r="308" spans="1:8" ht="27.95" customHeight="1" x14ac:dyDescent="0.2">
      <c r="A308" s="9" t="s">
        <v>234</v>
      </c>
      <c r="B308" s="9" t="s">
        <v>13</v>
      </c>
      <c r="C308" s="9"/>
      <c r="D308" s="9"/>
      <c r="E308" s="10" t="s">
        <v>235</v>
      </c>
      <c r="F308" s="66">
        <f t="shared" ref="F308:H309" si="73">F309</f>
        <v>31104.3</v>
      </c>
      <c r="G308" s="66">
        <f t="shared" si="73"/>
        <v>30757.3</v>
      </c>
      <c r="H308" s="66">
        <f t="shared" si="73"/>
        <v>30757.3</v>
      </c>
    </row>
    <row r="309" spans="1:8" ht="36" customHeight="1" x14ac:dyDescent="0.2">
      <c r="A309" s="15" t="s">
        <v>236</v>
      </c>
      <c r="B309" s="15" t="s">
        <v>13</v>
      </c>
      <c r="C309" s="9"/>
      <c r="D309" s="9"/>
      <c r="E309" s="31" t="s">
        <v>237</v>
      </c>
      <c r="F309" s="66">
        <f t="shared" si="73"/>
        <v>31104.3</v>
      </c>
      <c r="G309" s="66">
        <f t="shared" si="73"/>
        <v>30757.3</v>
      </c>
      <c r="H309" s="66">
        <f t="shared" si="73"/>
        <v>30757.3</v>
      </c>
    </row>
    <row r="310" spans="1:8" ht="38.25" customHeight="1" x14ac:dyDescent="0.2">
      <c r="A310" s="9" t="s">
        <v>238</v>
      </c>
      <c r="B310" s="9" t="s">
        <v>13</v>
      </c>
      <c r="C310" s="9"/>
      <c r="D310" s="9"/>
      <c r="E310" s="10" t="s">
        <v>239</v>
      </c>
      <c r="F310" s="66">
        <f>F312+F313</f>
        <v>31104.3</v>
      </c>
      <c r="G310" s="66">
        <f>G312+G313</f>
        <v>30757.3</v>
      </c>
      <c r="H310" s="66">
        <f>H312+H313</f>
        <v>30757.3</v>
      </c>
    </row>
    <row r="311" spans="1:8" ht="65.25" customHeight="1" x14ac:dyDescent="0.2">
      <c r="A311" s="9" t="s">
        <v>238</v>
      </c>
      <c r="B311" s="9" t="s">
        <v>78</v>
      </c>
      <c r="C311" s="9"/>
      <c r="D311" s="9"/>
      <c r="E311" s="10" t="s">
        <v>79</v>
      </c>
      <c r="F311" s="66">
        <f>F312</f>
        <v>29914.799999999999</v>
      </c>
      <c r="G311" s="66">
        <f>G312</f>
        <v>29914.799999999999</v>
      </c>
      <c r="H311" s="66">
        <f>H312</f>
        <v>29914.799999999999</v>
      </c>
    </row>
    <row r="312" spans="1:8" ht="25.5" customHeight="1" x14ac:dyDescent="0.2">
      <c r="A312" s="9" t="s">
        <v>238</v>
      </c>
      <c r="B312" s="9" t="s">
        <v>80</v>
      </c>
      <c r="C312" s="9" t="s">
        <v>24</v>
      </c>
      <c r="D312" s="9" t="s">
        <v>106</v>
      </c>
      <c r="E312" s="12" t="s">
        <v>82</v>
      </c>
      <c r="F312" s="66">
        <f>23785.3+7183.2-404.2-649.5</f>
        <v>29914.799999999999</v>
      </c>
      <c r="G312" s="66">
        <v>29914.799999999999</v>
      </c>
      <c r="H312" s="66">
        <v>29914.799999999999</v>
      </c>
    </row>
    <row r="313" spans="1:8" ht="35.25" customHeight="1" x14ac:dyDescent="0.2">
      <c r="A313" s="9" t="s">
        <v>238</v>
      </c>
      <c r="B313" s="9" t="s">
        <v>61</v>
      </c>
      <c r="C313" s="9"/>
      <c r="D313" s="9"/>
      <c r="E313" s="12" t="s">
        <v>62</v>
      </c>
      <c r="F313" s="66">
        <f>F314</f>
        <v>1189.5</v>
      </c>
      <c r="G313" s="66">
        <f>G314</f>
        <v>842.5</v>
      </c>
      <c r="H313" s="66">
        <f>H314</f>
        <v>842.5</v>
      </c>
    </row>
    <row r="314" spans="1:8" ht="39.75" customHeight="1" x14ac:dyDescent="0.2">
      <c r="A314" s="9" t="s">
        <v>238</v>
      </c>
      <c r="B314" s="9" t="s">
        <v>63</v>
      </c>
      <c r="C314" s="9" t="s">
        <v>24</v>
      </c>
      <c r="D314" s="9" t="s">
        <v>106</v>
      </c>
      <c r="E314" s="10" t="s">
        <v>65</v>
      </c>
      <c r="F314" s="77">
        <f>842.5+347</f>
        <v>1189.5</v>
      </c>
      <c r="G314" s="66">
        <v>842.5</v>
      </c>
      <c r="H314" s="66">
        <v>842.5</v>
      </c>
    </row>
    <row r="315" spans="1:8" ht="63.95" customHeight="1" x14ac:dyDescent="0.2">
      <c r="A315" s="9" t="s">
        <v>240</v>
      </c>
      <c r="B315" s="9" t="s">
        <v>13</v>
      </c>
      <c r="C315" s="9"/>
      <c r="D315" s="9"/>
      <c r="E315" s="10" t="s">
        <v>241</v>
      </c>
      <c r="F315" s="66">
        <f>F316+F344+F352</f>
        <v>793376.73869000003</v>
      </c>
      <c r="G315" s="66">
        <f>G316+G344+G352</f>
        <v>351416.75</v>
      </c>
      <c r="H315" s="66">
        <f>H316+H344+H352</f>
        <v>369567.44999999995</v>
      </c>
    </row>
    <row r="316" spans="1:8" ht="51.75" customHeight="1" x14ac:dyDescent="0.2">
      <c r="A316" s="9" t="s">
        <v>242</v>
      </c>
      <c r="B316" s="9" t="s">
        <v>13</v>
      </c>
      <c r="C316" s="9"/>
      <c r="D316" s="9"/>
      <c r="E316" s="10" t="s">
        <v>243</v>
      </c>
      <c r="F316" s="66">
        <f>F317+F333+F337</f>
        <v>741008.83869</v>
      </c>
      <c r="G316" s="66">
        <f>G317+G333+G337</f>
        <v>296998.55</v>
      </c>
      <c r="H316" s="66">
        <f>H317+H333+H337</f>
        <v>313064.74999999994</v>
      </c>
    </row>
    <row r="317" spans="1:8" ht="57" customHeight="1" x14ac:dyDescent="0.2">
      <c r="A317" s="9" t="s">
        <v>244</v>
      </c>
      <c r="B317" s="9" t="s">
        <v>13</v>
      </c>
      <c r="C317" s="9"/>
      <c r="D317" s="9"/>
      <c r="E317" s="18" t="s">
        <v>245</v>
      </c>
      <c r="F317" s="66">
        <f>F321+F324+F327+F330+F318</f>
        <v>437563.26933999994</v>
      </c>
      <c r="G317" s="66">
        <f>G321+G324+G327+G330+G318</f>
        <v>188659.98</v>
      </c>
      <c r="H317" s="66">
        <f>H321+H324+H327+H330+H318</f>
        <v>193040.17999999996</v>
      </c>
    </row>
    <row r="318" spans="1:8" ht="68.099999999999994" customHeight="1" x14ac:dyDescent="0.2">
      <c r="A318" s="15" t="s">
        <v>246</v>
      </c>
      <c r="B318" s="9" t="s">
        <v>13</v>
      </c>
      <c r="C318" s="9"/>
      <c r="D318" s="9"/>
      <c r="E318" s="18" t="s">
        <v>247</v>
      </c>
      <c r="F318" s="66">
        <f>F320</f>
        <v>49648.063690000003</v>
      </c>
      <c r="G318" s="66">
        <f>G320</f>
        <v>14120.6</v>
      </c>
      <c r="H318" s="66">
        <f>H320</f>
        <v>12319.3</v>
      </c>
    </row>
    <row r="319" spans="1:8" ht="39" customHeight="1" x14ac:dyDescent="0.2">
      <c r="A319" s="15" t="s">
        <v>246</v>
      </c>
      <c r="B319" s="9" t="s">
        <v>61</v>
      </c>
      <c r="C319" s="9"/>
      <c r="D319" s="9"/>
      <c r="E319" s="10" t="s">
        <v>62</v>
      </c>
      <c r="F319" s="66">
        <f>F320</f>
        <v>49648.063690000003</v>
      </c>
      <c r="G319" s="66">
        <f>G320</f>
        <v>14120.6</v>
      </c>
      <c r="H319" s="66">
        <f>H320</f>
        <v>12319.3</v>
      </c>
    </row>
    <row r="320" spans="1:8" ht="39.950000000000003" customHeight="1" x14ac:dyDescent="0.2">
      <c r="A320" s="15" t="s">
        <v>246</v>
      </c>
      <c r="B320" s="9" t="s">
        <v>63</v>
      </c>
      <c r="C320" s="9" t="s">
        <v>64</v>
      </c>
      <c r="D320" s="9" t="s">
        <v>248</v>
      </c>
      <c r="E320" s="10" t="s">
        <v>65</v>
      </c>
      <c r="F320" s="77">
        <f>202340+3283.63-189700-59.7-10946.005+1200+18300+2607+8700+13923.13869</f>
        <v>49648.063690000003</v>
      </c>
      <c r="G320" s="77">
        <f>202340-189700+330.6+1150</f>
        <v>14120.6</v>
      </c>
      <c r="H320" s="66">
        <f>202340-189700-320.7</f>
        <v>12319.3</v>
      </c>
    </row>
    <row r="321" spans="1:8" ht="69.75" customHeight="1" x14ac:dyDescent="0.2">
      <c r="A321" s="15" t="s">
        <v>249</v>
      </c>
      <c r="B321" s="15" t="s">
        <v>13</v>
      </c>
      <c r="C321" s="9"/>
      <c r="D321" s="9"/>
      <c r="E321" s="22" t="s">
        <v>250</v>
      </c>
      <c r="F321" s="66">
        <f t="shared" ref="F321:H322" si="74">F322</f>
        <v>152447</v>
      </c>
      <c r="G321" s="66">
        <f t="shared" si="74"/>
        <v>0</v>
      </c>
      <c r="H321" s="66">
        <f t="shared" si="74"/>
        <v>0</v>
      </c>
    </row>
    <row r="322" spans="1:8" ht="39.950000000000003" customHeight="1" x14ac:dyDescent="0.2">
      <c r="A322" s="15" t="s">
        <v>249</v>
      </c>
      <c r="B322" s="15" t="s">
        <v>61</v>
      </c>
      <c r="C322" s="9"/>
      <c r="D322" s="9"/>
      <c r="E322" s="22" t="s">
        <v>62</v>
      </c>
      <c r="F322" s="66">
        <f t="shared" si="74"/>
        <v>152447</v>
      </c>
      <c r="G322" s="66">
        <f t="shared" si="74"/>
        <v>0</v>
      </c>
      <c r="H322" s="66">
        <f t="shared" si="74"/>
        <v>0</v>
      </c>
    </row>
    <row r="323" spans="1:8" ht="39.950000000000003" customHeight="1" x14ac:dyDescent="0.2">
      <c r="A323" s="15" t="s">
        <v>249</v>
      </c>
      <c r="B323" s="15" t="s">
        <v>63</v>
      </c>
      <c r="C323" s="9" t="s">
        <v>64</v>
      </c>
      <c r="D323" s="9" t="s">
        <v>248</v>
      </c>
      <c r="E323" s="22" t="s">
        <v>65</v>
      </c>
      <c r="F323" s="66">
        <v>152447</v>
      </c>
      <c r="G323" s="66">
        <v>0</v>
      </c>
      <c r="H323" s="66">
        <v>0</v>
      </c>
    </row>
    <row r="324" spans="1:8" ht="81" customHeight="1" x14ac:dyDescent="0.2">
      <c r="A324" s="15" t="s">
        <v>251</v>
      </c>
      <c r="B324" s="9" t="s">
        <v>13</v>
      </c>
      <c r="C324" s="9"/>
      <c r="D324" s="9"/>
      <c r="E324" s="10" t="s">
        <v>252</v>
      </c>
      <c r="F324" s="66">
        <f t="shared" ref="F324:H325" si="75">F325</f>
        <v>16945.341489999999</v>
      </c>
      <c r="G324" s="66">
        <f t="shared" si="75"/>
        <v>20000</v>
      </c>
      <c r="H324" s="66">
        <f t="shared" si="75"/>
        <v>20000</v>
      </c>
    </row>
    <row r="325" spans="1:8" ht="39" customHeight="1" x14ac:dyDescent="0.2">
      <c r="A325" s="15" t="s">
        <v>251</v>
      </c>
      <c r="B325" s="9" t="s">
        <v>61</v>
      </c>
      <c r="C325" s="9"/>
      <c r="D325" s="9"/>
      <c r="E325" s="10" t="s">
        <v>62</v>
      </c>
      <c r="F325" s="66">
        <f t="shared" si="75"/>
        <v>16945.341489999999</v>
      </c>
      <c r="G325" s="66">
        <f t="shared" si="75"/>
        <v>20000</v>
      </c>
      <c r="H325" s="66">
        <f t="shared" si="75"/>
        <v>20000</v>
      </c>
    </row>
    <row r="326" spans="1:8" ht="39" customHeight="1" x14ac:dyDescent="0.2">
      <c r="A326" s="15" t="s">
        <v>251</v>
      </c>
      <c r="B326" s="9" t="s">
        <v>63</v>
      </c>
      <c r="C326" s="9" t="s">
        <v>64</v>
      </c>
      <c r="D326" s="9" t="s">
        <v>248</v>
      </c>
      <c r="E326" s="10" t="s">
        <v>65</v>
      </c>
      <c r="F326" s="77">
        <f>23105.2-6159.85851</f>
        <v>16945.341489999999</v>
      </c>
      <c r="G326" s="66">
        <v>20000</v>
      </c>
      <c r="H326" s="66">
        <v>20000</v>
      </c>
    </row>
    <row r="327" spans="1:8" ht="35.1" customHeight="1" x14ac:dyDescent="0.2">
      <c r="A327" s="15" t="s">
        <v>253</v>
      </c>
      <c r="B327" s="9" t="s">
        <v>13</v>
      </c>
      <c r="C327" s="9"/>
      <c r="D327" s="9"/>
      <c r="E327" s="10" t="s">
        <v>254</v>
      </c>
      <c r="F327" s="66">
        <f>F329</f>
        <v>196863.8</v>
      </c>
      <c r="G327" s="66">
        <f>G329</f>
        <v>139085.4</v>
      </c>
      <c r="H327" s="66">
        <f>H329</f>
        <v>144648.79999999999</v>
      </c>
    </row>
    <row r="328" spans="1:8" ht="36" customHeight="1" x14ac:dyDescent="0.2">
      <c r="A328" s="15" t="s">
        <v>253</v>
      </c>
      <c r="B328" s="9" t="s">
        <v>61</v>
      </c>
      <c r="C328" s="9"/>
      <c r="D328" s="9"/>
      <c r="E328" s="10" t="s">
        <v>62</v>
      </c>
      <c r="F328" s="66">
        <f>F329</f>
        <v>196863.8</v>
      </c>
      <c r="G328" s="66">
        <f>G329</f>
        <v>139085.4</v>
      </c>
      <c r="H328" s="66">
        <f>H329</f>
        <v>144648.79999999999</v>
      </c>
    </row>
    <row r="329" spans="1:8" ht="36" customHeight="1" x14ac:dyDescent="0.2">
      <c r="A329" s="15" t="s">
        <v>253</v>
      </c>
      <c r="B329" s="9" t="s">
        <v>63</v>
      </c>
      <c r="C329" s="9" t="s">
        <v>64</v>
      </c>
      <c r="D329" s="9" t="s">
        <v>248</v>
      </c>
      <c r="E329" s="10" t="s">
        <v>65</v>
      </c>
      <c r="F329" s="66">
        <f>133736+63127.8</f>
        <v>196863.8</v>
      </c>
      <c r="G329" s="66">
        <v>139085.4</v>
      </c>
      <c r="H329" s="66">
        <v>144648.79999999999</v>
      </c>
    </row>
    <row r="330" spans="1:8" ht="36.950000000000003" customHeight="1" x14ac:dyDescent="0.2">
      <c r="A330" s="15" t="s">
        <v>255</v>
      </c>
      <c r="B330" s="9" t="s">
        <v>13</v>
      </c>
      <c r="C330" s="9"/>
      <c r="D330" s="9"/>
      <c r="E330" s="10" t="s">
        <v>256</v>
      </c>
      <c r="F330" s="66">
        <f>F332</f>
        <v>21659.064160000002</v>
      </c>
      <c r="G330" s="66">
        <f>G332</f>
        <v>15453.98</v>
      </c>
      <c r="H330" s="66">
        <f>H332</f>
        <v>16072.08</v>
      </c>
    </row>
    <row r="331" spans="1:8" ht="36.950000000000003" customHeight="1" x14ac:dyDescent="0.2">
      <c r="A331" s="15" t="s">
        <v>255</v>
      </c>
      <c r="B331" s="9" t="s">
        <v>61</v>
      </c>
      <c r="C331" s="9"/>
      <c r="D331" s="9"/>
      <c r="E331" s="10" t="s">
        <v>62</v>
      </c>
      <c r="F331" s="66">
        <f>F332</f>
        <v>21659.064160000002</v>
      </c>
      <c r="G331" s="66">
        <f>G332</f>
        <v>15453.98</v>
      </c>
      <c r="H331" s="66">
        <f>H332</f>
        <v>16072.08</v>
      </c>
    </row>
    <row r="332" spans="1:8" ht="36" customHeight="1" x14ac:dyDescent="0.2">
      <c r="A332" s="15" t="s">
        <v>255</v>
      </c>
      <c r="B332" s="9" t="s">
        <v>63</v>
      </c>
      <c r="C332" s="9" t="s">
        <v>64</v>
      </c>
      <c r="D332" s="9" t="s">
        <v>248</v>
      </c>
      <c r="E332" s="10" t="s">
        <v>65</v>
      </c>
      <c r="F332" s="81">
        <f>14815.33+44.3+639.57565+6159.85851</f>
        <v>21659.064160000002</v>
      </c>
      <c r="G332" s="69">
        <f>15831.88-377.9</f>
        <v>15453.98</v>
      </c>
      <c r="H332" s="69">
        <f>15831.88+240.2</f>
        <v>16072.08</v>
      </c>
    </row>
    <row r="333" spans="1:8" ht="36" customHeight="1" x14ac:dyDescent="0.2">
      <c r="A333" s="9" t="s">
        <v>257</v>
      </c>
      <c r="B333" s="9" t="s">
        <v>13</v>
      </c>
      <c r="C333" s="9"/>
      <c r="D333" s="9"/>
      <c r="E333" s="12" t="s">
        <v>258</v>
      </c>
      <c r="F333" s="66">
        <f>F334</f>
        <v>269900.83815000003</v>
      </c>
      <c r="G333" s="66">
        <f>G334</f>
        <v>90742</v>
      </c>
      <c r="H333" s="66">
        <f>H334</f>
        <v>101892</v>
      </c>
    </row>
    <row r="334" spans="1:8" ht="36" customHeight="1" x14ac:dyDescent="0.2">
      <c r="A334" s="15" t="s">
        <v>259</v>
      </c>
      <c r="B334" s="9" t="s">
        <v>13</v>
      </c>
      <c r="C334" s="9"/>
      <c r="D334" s="9"/>
      <c r="E334" s="10" t="s">
        <v>260</v>
      </c>
      <c r="F334" s="66">
        <f>F336</f>
        <v>269900.83815000003</v>
      </c>
      <c r="G334" s="66">
        <f>G336</f>
        <v>90742</v>
      </c>
      <c r="H334" s="66">
        <f>H336</f>
        <v>101892</v>
      </c>
    </row>
    <row r="335" spans="1:8" ht="36.75" customHeight="1" x14ac:dyDescent="0.2">
      <c r="A335" s="15" t="s">
        <v>259</v>
      </c>
      <c r="B335" s="9" t="s">
        <v>61</v>
      </c>
      <c r="C335" s="9"/>
      <c r="D335" s="9"/>
      <c r="E335" s="10" t="s">
        <v>62</v>
      </c>
      <c r="F335" s="66">
        <f>F336</f>
        <v>269900.83815000003</v>
      </c>
      <c r="G335" s="66">
        <f>G336</f>
        <v>90742</v>
      </c>
      <c r="H335" s="66">
        <f>H336</f>
        <v>101892</v>
      </c>
    </row>
    <row r="336" spans="1:8" ht="36.75" customHeight="1" x14ac:dyDescent="0.2">
      <c r="A336" s="15" t="s">
        <v>259</v>
      </c>
      <c r="B336" s="9" t="s">
        <v>63</v>
      </c>
      <c r="C336" s="9" t="s">
        <v>64</v>
      </c>
      <c r="D336" s="9" t="s">
        <v>248</v>
      </c>
      <c r="E336" s="10" t="s">
        <v>65</v>
      </c>
      <c r="F336" s="81">
        <f>160202.41+189700-25000-64985+9012.18435+6200-1200-1421.7562-2607</f>
        <v>269900.83815000003</v>
      </c>
      <c r="G336" s="77">
        <f>176892-65000-20000-1150</f>
        <v>90742</v>
      </c>
      <c r="H336" s="66">
        <f>176892-75000</f>
        <v>101892</v>
      </c>
    </row>
    <row r="337" spans="1:8" ht="34.5" customHeight="1" x14ac:dyDescent="0.2">
      <c r="A337" s="9" t="s">
        <v>261</v>
      </c>
      <c r="B337" s="9" t="s">
        <v>13</v>
      </c>
      <c r="C337" s="9"/>
      <c r="D337" s="9"/>
      <c r="E337" s="12" t="s">
        <v>262</v>
      </c>
      <c r="F337" s="66">
        <f>F338+F341</f>
        <v>33544.731199999995</v>
      </c>
      <c r="G337" s="66">
        <f>G338+G341</f>
        <v>17596.57</v>
      </c>
      <c r="H337" s="66">
        <f>H338+H341</f>
        <v>18132.57</v>
      </c>
    </row>
    <row r="338" spans="1:8" ht="53.1" customHeight="1" x14ac:dyDescent="0.2">
      <c r="A338" s="15" t="s">
        <v>263</v>
      </c>
      <c r="B338" s="9" t="s">
        <v>13</v>
      </c>
      <c r="C338" s="9"/>
      <c r="D338" s="9"/>
      <c r="E338" s="32" t="s">
        <v>264</v>
      </c>
      <c r="F338" s="66">
        <f>F340</f>
        <v>25681.8</v>
      </c>
      <c r="G338" s="66">
        <f>G340</f>
        <v>13401.4</v>
      </c>
      <c r="H338" s="66">
        <f>H340</f>
        <v>13937.4</v>
      </c>
    </row>
    <row r="339" spans="1:8" ht="35.25" customHeight="1" x14ac:dyDescent="0.2">
      <c r="A339" s="15" t="s">
        <v>263</v>
      </c>
      <c r="B339" s="9" t="s">
        <v>61</v>
      </c>
      <c r="C339" s="9"/>
      <c r="D339" s="9"/>
      <c r="E339" s="10" t="s">
        <v>62</v>
      </c>
      <c r="F339" s="66">
        <f>F340</f>
        <v>25681.8</v>
      </c>
      <c r="G339" s="66">
        <f>G340</f>
        <v>13401.4</v>
      </c>
      <c r="H339" s="66">
        <f>H340</f>
        <v>13937.4</v>
      </c>
    </row>
    <row r="340" spans="1:8" ht="34.5" customHeight="1" x14ac:dyDescent="0.2">
      <c r="A340" s="15" t="s">
        <v>263</v>
      </c>
      <c r="B340" s="9" t="s">
        <v>63</v>
      </c>
      <c r="C340" s="9" t="s">
        <v>64</v>
      </c>
      <c r="D340" s="9" t="s">
        <v>248</v>
      </c>
      <c r="E340" s="10" t="s">
        <v>65</v>
      </c>
      <c r="F340" s="66">
        <f>12885.9+12795.9</f>
        <v>25681.8</v>
      </c>
      <c r="G340" s="66">
        <v>13401.4</v>
      </c>
      <c r="H340" s="66">
        <v>13937.4</v>
      </c>
    </row>
    <row r="341" spans="1:8" ht="56.1" customHeight="1" x14ac:dyDescent="0.2">
      <c r="A341" s="15" t="s">
        <v>265</v>
      </c>
      <c r="B341" s="9" t="s">
        <v>13</v>
      </c>
      <c r="C341" s="9"/>
      <c r="D341" s="9"/>
      <c r="E341" s="12" t="s">
        <v>266</v>
      </c>
      <c r="F341" s="66">
        <f>F343</f>
        <v>7862.9311999999991</v>
      </c>
      <c r="G341" s="66">
        <f>G343</f>
        <v>4195.17</v>
      </c>
      <c r="H341" s="66">
        <f>H343</f>
        <v>4195.17</v>
      </c>
    </row>
    <row r="342" spans="1:8" ht="35.25" customHeight="1" x14ac:dyDescent="0.2">
      <c r="A342" s="15" t="s">
        <v>265</v>
      </c>
      <c r="B342" s="9" t="s">
        <v>61</v>
      </c>
      <c r="C342" s="9"/>
      <c r="D342" s="9"/>
      <c r="E342" s="10" t="s">
        <v>62</v>
      </c>
      <c r="F342" s="66">
        <f>F343</f>
        <v>7862.9311999999991</v>
      </c>
      <c r="G342" s="66">
        <f>G343</f>
        <v>4195.17</v>
      </c>
      <c r="H342" s="66">
        <f>H343</f>
        <v>4195.17</v>
      </c>
    </row>
    <row r="343" spans="1:8" ht="33.75" customHeight="1" x14ac:dyDescent="0.2">
      <c r="A343" s="15" t="s">
        <v>265</v>
      </c>
      <c r="B343" s="9" t="s">
        <v>63</v>
      </c>
      <c r="C343" s="9" t="s">
        <v>64</v>
      </c>
      <c r="D343" s="9" t="s">
        <v>248</v>
      </c>
      <c r="E343" s="10" t="s">
        <v>65</v>
      </c>
      <c r="F343" s="81">
        <f>4195.17+10946.005+1421.7562-8700</f>
        <v>7862.9311999999991</v>
      </c>
      <c r="G343" s="69">
        <v>4195.17</v>
      </c>
      <c r="H343" s="69">
        <v>4195.17</v>
      </c>
    </row>
    <row r="344" spans="1:8" ht="54" customHeight="1" x14ac:dyDescent="0.2">
      <c r="A344" s="9" t="s">
        <v>267</v>
      </c>
      <c r="B344" s="9" t="s">
        <v>13</v>
      </c>
      <c r="C344" s="9"/>
      <c r="D344" s="9"/>
      <c r="E344" s="10" t="s">
        <v>268</v>
      </c>
      <c r="F344" s="66">
        <f>F346+F349</f>
        <v>7977.5</v>
      </c>
      <c r="G344" s="66">
        <f>G346+G349</f>
        <v>8296.5</v>
      </c>
      <c r="H344" s="66">
        <f>H346+H349</f>
        <v>8628.4</v>
      </c>
    </row>
    <row r="345" spans="1:8" ht="57" customHeight="1" x14ac:dyDescent="0.2">
      <c r="A345" s="15" t="s">
        <v>269</v>
      </c>
      <c r="B345" s="9" t="s">
        <v>13</v>
      </c>
      <c r="C345" s="9"/>
      <c r="D345" s="9"/>
      <c r="E345" s="33" t="s">
        <v>270</v>
      </c>
      <c r="F345" s="66">
        <f>F346+F349</f>
        <v>7977.5</v>
      </c>
      <c r="G345" s="66">
        <f>G346+G349</f>
        <v>8296.5</v>
      </c>
      <c r="H345" s="66">
        <f>H346+H349</f>
        <v>8628.4</v>
      </c>
    </row>
    <row r="346" spans="1:8" ht="52.5" customHeight="1" x14ac:dyDescent="0.2">
      <c r="A346" s="15" t="s">
        <v>271</v>
      </c>
      <c r="B346" s="9" t="s">
        <v>13</v>
      </c>
      <c r="C346" s="9"/>
      <c r="D346" s="9"/>
      <c r="E346" s="10" t="s">
        <v>272</v>
      </c>
      <c r="F346" s="66">
        <f>F348</f>
        <v>7179.7</v>
      </c>
      <c r="G346" s="66">
        <f>G348</f>
        <v>7466.8</v>
      </c>
      <c r="H346" s="66">
        <f>H348</f>
        <v>7765.5</v>
      </c>
    </row>
    <row r="347" spans="1:8" ht="39.75" customHeight="1" x14ac:dyDescent="0.2">
      <c r="A347" s="15" t="s">
        <v>271</v>
      </c>
      <c r="B347" s="9" t="s">
        <v>61</v>
      </c>
      <c r="C347" s="9"/>
      <c r="D347" s="9"/>
      <c r="E347" s="10" t="s">
        <v>62</v>
      </c>
      <c r="F347" s="66">
        <f>F348</f>
        <v>7179.7</v>
      </c>
      <c r="G347" s="66">
        <f>G348</f>
        <v>7466.8</v>
      </c>
      <c r="H347" s="66">
        <f>H348</f>
        <v>7765.5</v>
      </c>
    </row>
    <row r="348" spans="1:8" ht="36" customHeight="1" x14ac:dyDescent="0.2">
      <c r="A348" s="15" t="s">
        <v>271</v>
      </c>
      <c r="B348" s="9" t="s">
        <v>63</v>
      </c>
      <c r="C348" s="9" t="s">
        <v>64</v>
      </c>
      <c r="D348" s="9" t="s">
        <v>248</v>
      </c>
      <c r="E348" s="10" t="s">
        <v>65</v>
      </c>
      <c r="F348" s="66">
        <v>7179.7</v>
      </c>
      <c r="G348" s="66">
        <v>7466.8</v>
      </c>
      <c r="H348" s="66">
        <v>7765.5</v>
      </c>
    </row>
    <row r="349" spans="1:8" ht="66.95" customHeight="1" x14ac:dyDescent="0.2">
      <c r="A349" s="15" t="s">
        <v>273</v>
      </c>
      <c r="B349" s="9" t="s">
        <v>13</v>
      </c>
      <c r="C349" s="9"/>
      <c r="D349" s="9"/>
      <c r="E349" s="34" t="s">
        <v>274</v>
      </c>
      <c r="F349" s="66">
        <f>F351</f>
        <v>797.8</v>
      </c>
      <c r="G349" s="66">
        <f>G351</f>
        <v>829.69999999999993</v>
      </c>
      <c r="H349" s="66">
        <f>H351</f>
        <v>862.9</v>
      </c>
    </row>
    <row r="350" spans="1:8" ht="34.5" customHeight="1" x14ac:dyDescent="0.2">
      <c r="A350" s="15" t="s">
        <v>273</v>
      </c>
      <c r="B350" s="9" t="s">
        <v>61</v>
      </c>
      <c r="C350" s="9"/>
      <c r="D350" s="9"/>
      <c r="E350" s="10" t="s">
        <v>62</v>
      </c>
      <c r="F350" s="66">
        <f>F351</f>
        <v>797.8</v>
      </c>
      <c r="G350" s="66">
        <f>G351</f>
        <v>829.69999999999993</v>
      </c>
      <c r="H350" s="66">
        <f>H351</f>
        <v>862.9</v>
      </c>
    </row>
    <row r="351" spans="1:8" ht="33.75" customHeight="1" x14ac:dyDescent="0.2">
      <c r="A351" s="15" t="s">
        <v>273</v>
      </c>
      <c r="B351" s="9" t="s">
        <v>63</v>
      </c>
      <c r="C351" s="9" t="s">
        <v>64</v>
      </c>
      <c r="D351" s="9" t="s">
        <v>248</v>
      </c>
      <c r="E351" s="10" t="s">
        <v>65</v>
      </c>
      <c r="F351" s="66">
        <f>782.4+15.4</f>
        <v>797.8</v>
      </c>
      <c r="G351" s="66">
        <f>782.4+47.3</f>
        <v>829.69999999999993</v>
      </c>
      <c r="H351" s="66">
        <f>782.4+80.5</f>
        <v>862.9</v>
      </c>
    </row>
    <row r="352" spans="1:8" ht="50.25" customHeight="1" x14ac:dyDescent="0.2">
      <c r="A352" s="27" t="s">
        <v>275</v>
      </c>
      <c r="B352" s="9" t="s">
        <v>13</v>
      </c>
      <c r="C352" s="9"/>
      <c r="D352" s="9"/>
      <c r="E352" s="10" t="s">
        <v>276</v>
      </c>
      <c r="F352" s="66">
        <f t="shared" ref="F352:H353" si="76">F353</f>
        <v>44390.400000000001</v>
      </c>
      <c r="G352" s="66">
        <f t="shared" si="76"/>
        <v>46121.7</v>
      </c>
      <c r="H352" s="66">
        <f t="shared" si="76"/>
        <v>47874.3</v>
      </c>
    </row>
    <row r="353" spans="1:8" ht="51" customHeight="1" x14ac:dyDescent="0.2">
      <c r="A353" s="27" t="s">
        <v>277</v>
      </c>
      <c r="B353" s="9" t="s">
        <v>13</v>
      </c>
      <c r="C353" s="9"/>
      <c r="D353" s="9"/>
      <c r="E353" s="12" t="s">
        <v>278</v>
      </c>
      <c r="F353" s="66">
        <f t="shared" si="76"/>
        <v>44390.400000000001</v>
      </c>
      <c r="G353" s="66">
        <f t="shared" si="76"/>
        <v>46121.7</v>
      </c>
      <c r="H353" s="66">
        <f t="shared" si="76"/>
        <v>47874.3</v>
      </c>
    </row>
    <row r="354" spans="1:8" ht="51" customHeight="1" x14ac:dyDescent="0.2">
      <c r="A354" s="35" t="s">
        <v>279</v>
      </c>
      <c r="B354" s="9" t="s">
        <v>13</v>
      </c>
      <c r="C354" s="9"/>
      <c r="D354" s="9"/>
      <c r="E354" s="18" t="s">
        <v>280</v>
      </c>
      <c r="F354" s="69">
        <f>F356</f>
        <v>44390.400000000001</v>
      </c>
      <c r="G354" s="69">
        <f>G356</f>
        <v>46121.7</v>
      </c>
      <c r="H354" s="69">
        <f>H356</f>
        <v>47874.3</v>
      </c>
    </row>
    <row r="355" spans="1:8" ht="35.25" customHeight="1" x14ac:dyDescent="0.2">
      <c r="A355" s="35" t="s">
        <v>279</v>
      </c>
      <c r="B355" s="9" t="s">
        <v>61</v>
      </c>
      <c r="C355" s="9"/>
      <c r="D355" s="9"/>
      <c r="E355" s="10" t="s">
        <v>62</v>
      </c>
      <c r="F355" s="69">
        <f>F356</f>
        <v>44390.400000000001</v>
      </c>
      <c r="G355" s="69">
        <f>G356</f>
        <v>46121.7</v>
      </c>
      <c r="H355" s="69">
        <f>H356</f>
        <v>47874.3</v>
      </c>
    </row>
    <row r="356" spans="1:8" ht="38.1" customHeight="1" x14ac:dyDescent="0.2">
      <c r="A356" s="35" t="s">
        <v>279</v>
      </c>
      <c r="B356" s="9" t="s">
        <v>63</v>
      </c>
      <c r="C356" s="9" t="s">
        <v>64</v>
      </c>
      <c r="D356" s="9" t="s">
        <v>248</v>
      </c>
      <c r="E356" s="10" t="s">
        <v>65</v>
      </c>
      <c r="F356" s="66">
        <v>44390.400000000001</v>
      </c>
      <c r="G356" s="66">
        <v>46121.7</v>
      </c>
      <c r="H356" s="66">
        <v>47874.3</v>
      </c>
    </row>
    <row r="357" spans="1:8" ht="52.5" customHeight="1" x14ac:dyDescent="0.2">
      <c r="A357" s="83" t="s">
        <v>281</v>
      </c>
      <c r="B357" s="83" t="s">
        <v>13</v>
      </c>
      <c r="C357" s="82"/>
      <c r="D357" s="83"/>
      <c r="E357" s="36" t="s">
        <v>282</v>
      </c>
      <c r="F357" s="71">
        <f>F358+F400+F482</f>
        <v>333578.53890000004</v>
      </c>
      <c r="G357" s="71">
        <f>G358+G400+G482</f>
        <v>251593.1</v>
      </c>
      <c r="H357" s="71">
        <f>H358+H400+H482</f>
        <v>271806</v>
      </c>
    </row>
    <row r="358" spans="1:8" ht="51.95" customHeight="1" x14ac:dyDescent="0.2">
      <c r="A358" s="9" t="s">
        <v>283</v>
      </c>
      <c r="B358" s="9" t="s">
        <v>13</v>
      </c>
      <c r="C358" s="9"/>
      <c r="D358" s="9"/>
      <c r="E358" s="10" t="s">
        <v>284</v>
      </c>
      <c r="F358" s="66">
        <f>F359</f>
        <v>227741.51266000001</v>
      </c>
      <c r="G358" s="66">
        <f>G359</f>
        <v>156593.1</v>
      </c>
      <c r="H358" s="66">
        <f>H359</f>
        <v>121986</v>
      </c>
    </row>
    <row r="359" spans="1:8" ht="38.1" customHeight="1" x14ac:dyDescent="0.2">
      <c r="A359" s="9" t="s">
        <v>285</v>
      </c>
      <c r="B359" s="9" t="s">
        <v>13</v>
      </c>
      <c r="C359" s="9"/>
      <c r="D359" s="9"/>
      <c r="E359" s="10" t="s">
        <v>286</v>
      </c>
      <c r="F359" s="66">
        <f>F360+F382+F394+F397</f>
        <v>227741.51266000001</v>
      </c>
      <c r="G359" s="66">
        <f>G360+G382+G394+G397</f>
        <v>156593.1</v>
      </c>
      <c r="H359" s="66">
        <f>H360+H382+H394+H397</f>
        <v>121986</v>
      </c>
    </row>
    <row r="360" spans="1:8" ht="48.75" customHeight="1" x14ac:dyDescent="0.2">
      <c r="A360" s="9" t="s">
        <v>287</v>
      </c>
      <c r="B360" s="9" t="s">
        <v>13</v>
      </c>
      <c r="C360" s="9"/>
      <c r="D360" s="9"/>
      <c r="E360" s="25" t="s">
        <v>288</v>
      </c>
      <c r="F360" s="66">
        <f>F361+F363</f>
        <v>130862.79999999999</v>
      </c>
      <c r="G360" s="66">
        <f>G361+G363</f>
        <v>119919</v>
      </c>
      <c r="H360" s="66">
        <f>H361+H363</f>
        <v>46414.6</v>
      </c>
    </row>
    <row r="361" spans="1:8" ht="35.25" customHeight="1" x14ac:dyDescent="0.2">
      <c r="A361" s="9" t="s">
        <v>287</v>
      </c>
      <c r="B361" s="9" t="s">
        <v>61</v>
      </c>
      <c r="C361" s="9"/>
      <c r="D361" s="9"/>
      <c r="E361" s="10" t="s">
        <v>62</v>
      </c>
      <c r="F361" s="66">
        <f>F362</f>
        <v>7580</v>
      </c>
      <c r="G361" s="66">
        <f>G362</f>
        <v>15950</v>
      </c>
      <c r="H361" s="66">
        <f>H362</f>
        <v>0</v>
      </c>
    </row>
    <row r="362" spans="1:8" ht="39" customHeight="1" x14ac:dyDescent="0.2">
      <c r="A362" s="9" t="s">
        <v>287</v>
      </c>
      <c r="B362" s="9" t="s">
        <v>63</v>
      </c>
      <c r="C362" s="9" t="s">
        <v>64</v>
      </c>
      <c r="D362" s="9" t="s">
        <v>289</v>
      </c>
      <c r="E362" s="10" t="s">
        <v>65</v>
      </c>
      <c r="F362" s="66">
        <f>1580+2500+1900+1600</f>
        <v>7580</v>
      </c>
      <c r="G362" s="66">
        <f>24150-8200</f>
        <v>15950</v>
      </c>
      <c r="H362" s="66">
        <v>0</v>
      </c>
    </row>
    <row r="363" spans="1:8" ht="38.1" customHeight="1" x14ac:dyDescent="0.2">
      <c r="A363" s="9" t="s">
        <v>287</v>
      </c>
      <c r="B363" s="9" t="s">
        <v>228</v>
      </c>
      <c r="C363" s="9"/>
      <c r="D363" s="9"/>
      <c r="E363" s="12" t="s">
        <v>229</v>
      </c>
      <c r="F363" s="66">
        <f>F364</f>
        <v>123282.79999999999</v>
      </c>
      <c r="G363" s="66">
        <f>G364</f>
        <v>103969</v>
      </c>
      <c r="H363" s="66">
        <f>H364</f>
        <v>46414.6</v>
      </c>
    </row>
    <row r="364" spans="1:8" ht="27" customHeight="1" x14ac:dyDescent="0.2">
      <c r="A364" s="9" t="s">
        <v>287</v>
      </c>
      <c r="B364" s="9" t="s">
        <v>230</v>
      </c>
      <c r="C364" s="9" t="s">
        <v>64</v>
      </c>
      <c r="D364" s="9" t="s">
        <v>289</v>
      </c>
      <c r="E364" s="12" t="s">
        <v>231</v>
      </c>
      <c r="F364" s="66">
        <f>SUM(F365:F381)</f>
        <v>123282.79999999999</v>
      </c>
      <c r="G364" s="66">
        <f>SUM(G365:G381)</f>
        <v>103969</v>
      </c>
      <c r="H364" s="66">
        <f>SUM(H365:H381)</f>
        <v>46414.6</v>
      </c>
    </row>
    <row r="365" spans="1:8" ht="96" customHeight="1" x14ac:dyDescent="0.2">
      <c r="A365" s="15" t="s">
        <v>287</v>
      </c>
      <c r="B365" s="15" t="s">
        <v>230</v>
      </c>
      <c r="C365" s="9" t="s">
        <v>64</v>
      </c>
      <c r="D365" s="9" t="s">
        <v>289</v>
      </c>
      <c r="E365" s="22" t="s">
        <v>290</v>
      </c>
      <c r="F365" s="77">
        <f>600+15000+1000+1692</f>
        <v>18292</v>
      </c>
      <c r="G365" s="66">
        <f>17870-17870</f>
        <v>0</v>
      </c>
      <c r="H365" s="66">
        <v>0</v>
      </c>
    </row>
    <row r="366" spans="1:8" ht="96" customHeight="1" x14ac:dyDescent="0.2">
      <c r="A366" s="15" t="s">
        <v>287</v>
      </c>
      <c r="B366" s="15" t="s">
        <v>230</v>
      </c>
      <c r="C366" s="9" t="s">
        <v>64</v>
      </c>
      <c r="D366" s="9" t="s">
        <v>289</v>
      </c>
      <c r="E366" s="22" t="s">
        <v>851</v>
      </c>
      <c r="F366" s="77">
        <f>600+15000+8000-18300-2292</f>
        <v>3008</v>
      </c>
      <c r="G366" s="66">
        <f>14760-14760</f>
        <v>0</v>
      </c>
      <c r="H366" s="66">
        <v>0</v>
      </c>
    </row>
    <row r="367" spans="1:8" ht="90" customHeight="1" x14ac:dyDescent="0.2">
      <c r="A367" s="15" t="s">
        <v>287</v>
      </c>
      <c r="B367" s="15" t="s">
        <v>230</v>
      </c>
      <c r="C367" s="9" t="s">
        <v>64</v>
      </c>
      <c r="D367" s="9" t="s">
        <v>289</v>
      </c>
      <c r="E367" s="22" t="s">
        <v>291</v>
      </c>
      <c r="F367" s="66">
        <f>600+15000+1700</f>
        <v>17300</v>
      </c>
      <c r="G367" s="66">
        <f>17980-17980</f>
        <v>0</v>
      </c>
      <c r="H367" s="66">
        <v>0</v>
      </c>
    </row>
    <row r="368" spans="1:8" ht="99.95" customHeight="1" x14ac:dyDescent="0.2">
      <c r="A368" s="15" t="s">
        <v>287</v>
      </c>
      <c r="B368" s="15" t="s">
        <v>230</v>
      </c>
      <c r="C368" s="9" t="s">
        <v>64</v>
      </c>
      <c r="D368" s="9" t="s">
        <v>289</v>
      </c>
      <c r="E368" s="22" t="s">
        <v>292</v>
      </c>
      <c r="F368" s="77">
        <f>14970+9000+600</f>
        <v>24570</v>
      </c>
      <c r="G368" s="66">
        <v>0</v>
      </c>
      <c r="H368" s="66">
        <v>0</v>
      </c>
    </row>
    <row r="369" spans="1:8" ht="38.1" customHeight="1" x14ac:dyDescent="0.2">
      <c r="A369" s="15" t="s">
        <v>287</v>
      </c>
      <c r="B369" s="15" t="s">
        <v>230</v>
      </c>
      <c r="C369" s="9" t="s">
        <v>64</v>
      </c>
      <c r="D369" s="9" t="s">
        <v>289</v>
      </c>
      <c r="E369" s="20" t="s">
        <v>293</v>
      </c>
      <c r="F369" s="66">
        <v>500</v>
      </c>
      <c r="G369" s="66">
        <v>0</v>
      </c>
      <c r="H369" s="66">
        <v>100</v>
      </c>
    </row>
    <row r="370" spans="1:8" ht="41.1" customHeight="1" x14ac:dyDescent="0.2">
      <c r="A370" s="15" t="s">
        <v>287</v>
      </c>
      <c r="B370" s="15" t="s">
        <v>230</v>
      </c>
      <c r="C370" s="9" t="s">
        <v>64</v>
      </c>
      <c r="D370" s="9" t="s">
        <v>289</v>
      </c>
      <c r="E370" s="20" t="s">
        <v>294</v>
      </c>
      <c r="F370" s="66">
        <f>300+1100</f>
        <v>1400</v>
      </c>
      <c r="G370" s="66">
        <v>0</v>
      </c>
      <c r="H370" s="66">
        <v>0</v>
      </c>
    </row>
    <row r="371" spans="1:8" ht="51" customHeight="1" x14ac:dyDescent="0.2">
      <c r="A371" s="15" t="s">
        <v>287</v>
      </c>
      <c r="B371" s="15" t="s">
        <v>230</v>
      </c>
      <c r="C371" s="9" t="s">
        <v>64</v>
      </c>
      <c r="D371" s="9" t="s">
        <v>289</v>
      </c>
      <c r="E371" s="20" t="s">
        <v>295</v>
      </c>
      <c r="F371" s="66">
        <v>139.4</v>
      </c>
      <c r="G371" s="66">
        <v>0</v>
      </c>
      <c r="H371" s="66">
        <v>0</v>
      </c>
    </row>
    <row r="372" spans="1:8" ht="39.950000000000003" customHeight="1" x14ac:dyDescent="0.2">
      <c r="A372" s="15" t="s">
        <v>287</v>
      </c>
      <c r="B372" s="15" t="s">
        <v>230</v>
      </c>
      <c r="C372" s="9" t="s">
        <v>64</v>
      </c>
      <c r="D372" s="9" t="s">
        <v>289</v>
      </c>
      <c r="E372" s="20" t="s">
        <v>296</v>
      </c>
      <c r="F372" s="66">
        <f>7840-1940</f>
        <v>5900</v>
      </c>
      <c r="G372" s="66">
        <v>9760</v>
      </c>
      <c r="H372" s="66">
        <v>0</v>
      </c>
    </row>
    <row r="373" spans="1:8" ht="50.25" customHeight="1" x14ac:dyDescent="0.2">
      <c r="A373" s="15" t="s">
        <v>287</v>
      </c>
      <c r="B373" s="15" t="s">
        <v>230</v>
      </c>
      <c r="C373" s="9" t="s">
        <v>64</v>
      </c>
      <c r="D373" s="9" t="s">
        <v>289</v>
      </c>
      <c r="E373" s="80" t="s">
        <v>827</v>
      </c>
      <c r="F373" s="66">
        <f>7860-1000</f>
        <v>6860</v>
      </c>
      <c r="G373" s="66">
        <v>9940</v>
      </c>
      <c r="H373" s="66">
        <v>0</v>
      </c>
    </row>
    <row r="374" spans="1:8" ht="108" customHeight="1" x14ac:dyDescent="0.2">
      <c r="A374" s="15" t="s">
        <v>287</v>
      </c>
      <c r="B374" s="15" t="s">
        <v>230</v>
      </c>
      <c r="C374" s="9" t="s">
        <v>64</v>
      </c>
      <c r="D374" s="9" t="s">
        <v>289</v>
      </c>
      <c r="E374" s="22" t="s">
        <v>297</v>
      </c>
      <c r="F374" s="66">
        <f>7740-5040</f>
        <v>2700</v>
      </c>
      <c r="G374" s="66">
        <v>9760</v>
      </c>
      <c r="H374" s="66">
        <v>0</v>
      </c>
    </row>
    <row r="375" spans="1:8" ht="120.75" customHeight="1" x14ac:dyDescent="0.2">
      <c r="A375" s="15" t="s">
        <v>287</v>
      </c>
      <c r="B375" s="15" t="s">
        <v>230</v>
      </c>
      <c r="C375" s="9" t="s">
        <v>64</v>
      </c>
      <c r="D375" s="9" t="s">
        <v>289</v>
      </c>
      <c r="E375" s="22" t="s">
        <v>298</v>
      </c>
      <c r="F375" s="66">
        <f>7740-5040</f>
        <v>2700</v>
      </c>
      <c r="G375" s="66">
        <v>9760</v>
      </c>
      <c r="H375" s="66">
        <v>0</v>
      </c>
    </row>
    <row r="376" spans="1:8" ht="39" customHeight="1" x14ac:dyDescent="0.2">
      <c r="A376" s="15" t="s">
        <v>287</v>
      </c>
      <c r="B376" s="15" t="s">
        <v>230</v>
      </c>
      <c r="C376" s="9" t="s">
        <v>64</v>
      </c>
      <c r="D376" s="9" t="s">
        <v>289</v>
      </c>
      <c r="E376" s="20" t="s">
        <v>299</v>
      </c>
      <c r="F376" s="66">
        <f>800-800</f>
        <v>0</v>
      </c>
      <c r="G376" s="66">
        <f>8500-3500</f>
        <v>5000</v>
      </c>
      <c r="H376" s="66">
        <v>12700</v>
      </c>
    </row>
    <row r="377" spans="1:8" ht="54" customHeight="1" x14ac:dyDescent="0.2">
      <c r="A377" s="15" t="s">
        <v>287</v>
      </c>
      <c r="B377" s="15" t="s">
        <v>230</v>
      </c>
      <c r="C377" s="9" t="s">
        <v>64</v>
      </c>
      <c r="D377" s="9" t="s">
        <v>289</v>
      </c>
      <c r="E377" s="20" t="s">
        <v>300</v>
      </c>
      <c r="F377" s="66">
        <f>1100-1100</f>
        <v>0</v>
      </c>
      <c r="G377" s="66">
        <f>9700-8760</f>
        <v>940</v>
      </c>
      <c r="H377" s="66">
        <v>15514.6</v>
      </c>
    </row>
    <row r="378" spans="1:8" ht="39" customHeight="1" x14ac:dyDescent="0.2">
      <c r="A378" s="15" t="s">
        <v>287</v>
      </c>
      <c r="B378" s="15" t="s">
        <v>230</v>
      </c>
      <c r="C378" s="9" t="s">
        <v>64</v>
      </c>
      <c r="D378" s="9" t="s">
        <v>289</v>
      </c>
      <c r="E378" s="20" t="s">
        <v>301</v>
      </c>
      <c r="F378" s="77">
        <f>12287.9+30000-3426</f>
        <v>38861.9</v>
      </c>
      <c r="G378" s="66">
        <f>1100+50129</f>
        <v>51229</v>
      </c>
      <c r="H378" s="66">
        <v>0</v>
      </c>
    </row>
    <row r="379" spans="1:8" ht="50.1" customHeight="1" x14ac:dyDescent="0.2">
      <c r="A379" s="15" t="s">
        <v>287</v>
      </c>
      <c r="B379" s="15" t="s">
        <v>230</v>
      </c>
      <c r="C379" s="9" t="s">
        <v>64</v>
      </c>
      <c r="D379" s="9" t="s">
        <v>289</v>
      </c>
      <c r="E379" s="20" t="s">
        <v>302</v>
      </c>
      <c r="F379" s="66">
        <f>900-900</f>
        <v>0</v>
      </c>
      <c r="G379" s="66">
        <v>2180</v>
      </c>
      <c r="H379" s="66">
        <v>18100</v>
      </c>
    </row>
    <row r="380" spans="1:8" ht="39" customHeight="1" x14ac:dyDescent="0.2">
      <c r="A380" s="15" t="s">
        <v>287</v>
      </c>
      <c r="B380" s="15" t="s">
        <v>230</v>
      </c>
      <c r="C380" s="9" t="s">
        <v>64</v>
      </c>
      <c r="D380" s="9" t="s">
        <v>289</v>
      </c>
      <c r="E380" s="20" t="s">
        <v>303</v>
      </c>
      <c r="F380" s="66">
        <f>13051.5-12000</f>
        <v>1051.5</v>
      </c>
      <c r="G380" s="66">
        <v>0</v>
      </c>
      <c r="H380" s="66">
        <v>0</v>
      </c>
    </row>
    <row r="381" spans="1:8" ht="65.099999999999994" customHeight="1" x14ac:dyDescent="0.2">
      <c r="A381" s="15" t="s">
        <v>287</v>
      </c>
      <c r="B381" s="15" t="s">
        <v>230</v>
      </c>
      <c r="C381" s="9" t="s">
        <v>64</v>
      </c>
      <c r="D381" s="9" t="s">
        <v>289</v>
      </c>
      <c r="E381" s="22" t="s">
        <v>304</v>
      </c>
      <c r="F381" s="66">
        <f>3600-3600</f>
        <v>0</v>
      </c>
      <c r="G381" s="66">
        <v>5400</v>
      </c>
      <c r="H381" s="66">
        <v>0</v>
      </c>
    </row>
    <row r="382" spans="1:8" ht="51.95" customHeight="1" x14ac:dyDescent="0.2">
      <c r="A382" s="9" t="s">
        <v>305</v>
      </c>
      <c r="B382" s="37" t="s">
        <v>13</v>
      </c>
      <c r="C382" s="9"/>
      <c r="D382" s="9"/>
      <c r="E382" s="25" t="s">
        <v>306</v>
      </c>
      <c r="F382" s="66">
        <f>F383+F385</f>
        <v>30231.7</v>
      </c>
      <c r="G382" s="66">
        <f>G383+G385</f>
        <v>7450</v>
      </c>
      <c r="H382" s="66">
        <f>H383+H385</f>
        <v>45394.9</v>
      </c>
    </row>
    <row r="383" spans="1:8" ht="37.5" customHeight="1" x14ac:dyDescent="0.2">
      <c r="A383" s="9" t="s">
        <v>305</v>
      </c>
      <c r="B383" s="9" t="s">
        <v>61</v>
      </c>
      <c r="C383" s="9"/>
      <c r="D383" s="9"/>
      <c r="E383" s="10" t="s">
        <v>62</v>
      </c>
      <c r="F383" s="66">
        <f>F384</f>
        <v>12200</v>
      </c>
      <c r="G383" s="66">
        <f>G384</f>
        <v>7450</v>
      </c>
      <c r="H383" s="66">
        <f>H384</f>
        <v>22194.9</v>
      </c>
    </row>
    <row r="384" spans="1:8" ht="34.5" customHeight="1" x14ac:dyDescent="0.2">
      <c r="A384" s="9" t="s">
        <v>305</v>
      </c>
      <c r="B384" s="9" t="s">
        <v>63</v>
      </c>
      <c r="C384" s="9" t="s">
        <v>64</v>
      </c>
      <c r="D384" s="9" t="s">
        <v>289</v>
      </c>
      <c r="E384" s="10" t="s">
        <v>65</v>
      </c>
      <c r="F384" s="66">
        <f>22400-500-9700</f>
        <v>12200</v>
      </c>
      <c r="G384" s="66">
        <v>7450</v>
      </c>
      <c r="H384" s="66">
        <v>22194.9</v>
      </c>
    </row>
    <row r="385" spans="1:8" ht="33.75" customHeight="1" x14ac:dyDescent="0.2">
      <c r="A385" s="9" t="s">
        <v>305</v>
      </c>
      <c r="B385" s="9" t="s">
        <v>228</v>
      </c>
      <c r="C385" s="9"/>
      <c r="D385" s="9"/>
      <c r="E385" s="12" t="s">
        <v>229</v>
      </c>
      <c r="F385" s="66">
        <f>F386</f>
        <v>18031.7</v>
      </c>
      <c r="G385" s="66">
        <f>G386</f>
        <v>0</v>
      </c>
      <c r="H385" s="66">
        <f>H386</f>
        <v>23200</v>
      </c>
    </row>
    <row r="386" spans="1:8" ht="23.25" customHeight="1" x14ac:dyDescent="0.2">
      <c r="A386" s="15" t="s">
        <v>305</v>
      </c>
      <c r="B386" s="15" t="s">
        <v>230</v>
      </c>
      <c r="C386" s="9" t="s">
        <v>64</v>
      </c>
      <c r="D386" s="9" t="s">
        <v>289</v>
      </c>
      <c r="E386" s="30" t="s">
        <v>231</v>
      </c>
      <c r="F386" s="66">
        <f>SUM(F387:F393)</f>
        <v>18031.7</v>
      </c>
      <c r="G386" s="66">
        <f>SUM(G387:G393)</f>
        <v>0</v>
      </c>
      <c r="H386" s="66">
        <f>SUM(H387:H393)</f>
        <v>23200</v>
      </c>
    </row>
    <row r="387" spans="1:8" ht="37.5" customHeight="1" x14ac:dyDescent="0.2">
      <c r="A387" s="15" t="s">
        <v>305</v>
      </c>
      <c r="B387" s="15" t="s">
        <v>230</v>
      </c>
      <c r="C387" s="9" t="s">
        <v>64</v>
      </c>
      <c r="D387" s="9" t="s">
        <v>289</v>
      </c>
      <c r="E387" s="20" t="s">
        <v>307</v>
      </c>
      <c r="F387" s="66">
        <v>1400</v>
      </c>
      <c r="G387" s="77">
        <f>22194.9-22194.9</f>
        <v>0</v>
      </c>
      <c r="H387" s="66">
        <v>0</v>
      </c>
    </row>
    <row r="388" spans="1:8" ht="51" customHeight="1" x14ac:dyDescent="0.2">
      <c r="A388" s="15" t="s">
        <v>305</v>
      </c>
      <c r="B388" s="15" t="s">
        <v>230</v>
      </c>
      <c r="C388" s="9" t="s">
        <v>64</v>
      </c>
      <c r="D388" s="9" t="s">
        <v>289</v>
      </c>
      <c r="E388" s="19" t="s">
        <v>308</v>
      </c>
      <c r="F388" s="66">
        <v>1000</v>
      </c>
      <c r="G388" s="77">
        <f>45270.9-45270.9</f>
        <v>0</v>
      </c>
      <c r="H388" s="66">
        <v>0</v>
      </c>
    </row>
    <row r="389" spans="1:8" ht="36" customHeight="1" x14ac:dyDescent="0.2">
      <c r="A389" s="15" t="s">
        <v>305</v>
      </c>
      <c r="B389" s="15" t="s">
        <v>230</v>
      </c>
      <c r="C389" s="9" t="s">
        <v>64</v>
      </c>
      <c r="D389" s="9" t="s">
        <v>289</v>
      </c>
      <c r="E389" s="19" t="s">
        <v>309</v>
      </c>
      <c r="F389" s="66">
        <f>600-600</f>
        <v>0</v>
      </c>
      <c r="G389" s="77">
        <f>7450-7450</f>
        <v>0</v>
      </c>
      <c r="H389" s="66">
        <f>22500</f>
        <v>22500</v>
      </c>
    </row>
    <row r="390" spans="1:8" ht="37.5" customHeight="1" x14ac:dyDescent="0.2">
      <c r="A390" s="15" t="s">
        <v>305</v>
      </c>
      <c r="B390" s="15" t="s">
        <v>230</v>
      </c>
      <c r="C390" s="9" t="s">
        <v>64</v>
      </c>
      <c r="D390" s="9" t="s">
        <v>289</v>
      </c>
      <c r="E390" s="22" t="s">
        <v>310</v>
      </c>
      <c r="F390" s="66">
        <v>6385.7</v>
      </c>
      <c r="G390" s="66">
        <v>0</v>
      </c>
      <c r="H390" s="66">
        <v>0</v>
      </c>
    </row>
    <row r="391" spans="1:8" ht="36" customHeight="1" x14ac:dyDescent="0.2">
      <c r="A391" s="15" t="s">
        <v>305</v>
      </c>
      <c r="B391" s="15" t="s">
        <v>230</v>
      </c>
      <c r="C391" s="9" t="s">
        <v>64</v>
      </c>
      <c r="D391" s="9" t="s">
        <v>289</v>
      </c>
      <c r="E391" s="22" t="s">
        <v>311</v>
      </c>
      <c r="F391" s="66">
        <v>6585.7</v>
      </c>
      <c r="G391" s="66">
        <v>0</v>
      </c>
      <c r="H391" s="66">
        <v>0</v>
      </c>
    </row>
    <row r="392" spans="1:8" ht="37.5" customHeight="1" x14ac:dyDescent="0.2">
      <c r="A392" s="15" t="s">
        <v>305</v>
      </c>
      <c r="B392" s="15" t="s">
        <v>230</v>
      </c>
      <c r="C392" s="9" t="s">
        <v>64</v>
      </c>
      <c r="D392" s="9" t="s">
        <v>289</v>
      </c>
      <c r="E392" s="22" t="s">
        <v>312</v>
      </c>
      <c r="F392" s="66">
        <v>2660.3</v>
      </c>
      <c r="G392" s="66">
        <v>0</v>
      </c>
      <c r="H392" s="66">
        <v>0</v>
      </c>
    </row>
    <row r="393" spans="1:8" ht="37.5" customHeight="1" x14ac:dyDescent="0.2">
      <c r="A393" s="15" t="s">
        <v>305</v>
      </c>
      <c r="B393" s="15" t="s">
        <v>230</v>
      </c>
      <c r="C393" s="9" t="s">
        <v>64</v>
      </c>
      <c r="D393" s="9" t="s">
        <v>289</v>
      </c>
      <c r="E393" s="22" t="s">
        <v>313</v>
      </c>
      <c r="F393" s="66">
        <v>0</v>
      </c>
      <c r="G393" s="66">
        <v>0</v>
      </c>
      <c r="H393" s="66">
        <v>700</v>
      </c>
    </row>
    <row r="394" spans="1:8" ht="21.75" customHeight="1" x14ac:dyDescent="0.2">
      <c r="A394" s="14" t="s">
        <v>314</v>
      </c>
      <c r="B394" s="14" t="s">
        <v>13</v>
      </c>
      <c r="C394" s="14"/>
      <c r="D394" s="14"/>
      <c r="E394" s="10" t="s">
        <v>315</v>
      </c>
      <c r="F394" s="68">
        <f t="shared" ref="F394:H395" si="77">F395</f>
        <v>65447.012659999993</v>
      </c>
      <c r="G394" s="68">
        <f t="shared" si="77"/>
        <v>29224.1</v>
      </c>
      <c r="H394" s="68">
        <f t="shared" si="77"/>
        <v>30176.5</v>
      </c>
    </row>
    <row r="395" spans="1:8" ht="33.75" customHeight="1" x14ac:dyDescent="0.2">
      <c r="A395" s="9" t="s">
        <v>314</v>
      </c>
      <c r="B395" s="9" t="s">
        <v>61</v>
      </c>
      <c r="C395" s="9"/>
      <c r="D395" s="9"/>
      <c r="E395" s="10" t="s">
        <v>62</v>
      </c>
      <c r="F395" s="66">
        <f t="shared" si="77"/>
        <v>65447.012659999993</v>
      </c>
      <c r="G395" s="66">
        <f t="shared" si="77"/>
        <v>29224.1</v>
      </c>
      <c r="H395" s="66">
        <f t="shared" si="77"/>
        <v>30176.5</v>
      </c>
    </row>
    <row r="396" spans="1:8" ht="35.25" customHeight="1" x14ac:dyDescent="0.2">
      <c r="A396" s="9" t="s">
        <v>314</v>
      </c>
      <c r="B396" s="9" t="s">
        <v>63</v>
      </c>
      <c r="C396" s="9" t="s">
        <v>64</v>
      </c>
      <c r="D396" s="9" t="s">
        <v>289</v>
      </c>
      <c r="E396" s="10" t="s">
        <v>65</v>
      </c>
      <c r="F396" s="77">
        <f>55367.5+591.68-6600-3500+20300+9700-224.70414-402+11381.7389-867.2021-20300</f>
        <v>65447.012659999993</v>
      </c>
      <c r="G396" s="66">
        <v>29224.1</v>
      </c>
      <c r="H396" s="66">
        <v>30176.5</v>
      </c>
    </row>
    <row r="397" spans="1:8" ht="54.95" customHeight="1" x14ac:dyDescent="0.2">
      <c r="A397" s="9" t="s">
        <v>316</v>
      </c>
      <c r="B397" s="9" t="s">
        <v>13</v>
      </c>
      <c r="C397" s="9"/>
      <c r="D397" s="9"/>
      <c r="E397" s="10" t="s">
        <v>317</v>
      </c>
      <c r="F397" s="66">
        <f t="shared" ref="F397:H398" si="78">F398</f>
        <v>1200</v>
      </c>
      <c r="G397" s="66">
        <f t="shared" si="78"/>
        <v>0</v>
      </c>
      <c r="H397" s="66">
        <f t="shared" si="78"/>
        <v>0</v>
      </c>
    </row>
    <row r="398" spans="1:8" ht="38.25" customHeight="1" x14ac:dyDescent="0.2">
      <c r="A398" s="9" t="s">
        <v>316</v>
      </c>
      <c r="B398" s="9" t="s">
        <v>61</v>
      </c>
      <c r="C398" s="9"/>
      <c r="D398" s="9"/>
      <c r="E398" s="10" t="s">
        <v>62</v>
      </c>
      <c r="F398" s="66">
        <f t="shared" si="78"/>
        <v>1200</v>
      </c>
      <c r="G398" s="66">
        <f t="shared" si="78"/>
        <v>0</v>
      </c>
      <c r="H398" s="66">
        <f t="shared" si="78"/>
        <v>0</v>
      </c>
    </row>
    <row r="399" spans="1:8" ht="36.950000000000003" customHeight="1" x14ac:dyDescent="0.2">
      <c r="A399" s="9" t="s">
        <v>316</v>
      </c>
      <c r="B399" s="9" t="s">
        <v>63</v>
      </c>
      <c r="C399" s="9" t="s">
        <v>64</v>
      </c>
      <c r="D399" s="9" t="s">
        <v>289</v>
      </c>
      <c r="E399" s="10" t="s">
        <v>65</v>
      </c>
      <c r="F399" s="66">
        <v>1200</v>
      </c>
      <c r="G399" s="66">
        <v>0</v>
      </c>
      <c r="H399" s="66">
        <v>0</v>
      </c>
    </row>
    <row r="400" spans="1:8" ht="48.95" customHeight="1" x14ac:dyDescent="0.2">
      <c r="A400" s="9" t="s">
        <v>318</v>
      </c>
      <c r="B400" s="9" t="s">
        <v>13</v>
      </c>
      <c r="C400" s="9"/>
      <c r="D400" s="9"/>
      <c r="E400" s="10" t="s">
        <v>319</v>
      </c>
      <c r="F400" s="66">
        <f>F401</f>
        <v>87287.026240000007</v>
      </c>
      <c r="G400" s="66">
        <f>G401</f>
        <v>85500</v>
      </c>
      <c r="H400" s="66">
        <f>H401</f>
        <v>140320</v>
      </c>
    </row>
    <row r="401" spans="1:8" ht="39.75" customHeight="1" x14ac:dyDescent="0.2">
      <c r="A401" s="9" t="s">
        <v>320</v>
      </c>
      <c r="B401" s="9" t="s">
        <v>13</v>
      </c>
      <c r="C401" s="9"/>
      <c r="D401" s="9"/>
      <c r="E401" s="38" t="s">
        <v>321</v>
      </c>
      <c r="F401" s="66">
        <f>F402+F406+F410</f>
        <v>87287.026240000007</v>
      </c>
      <c r="G401" s="66">
        <f>G406+G410</f>
        <v>85500</v>
      </c>
      <c r="H401" s="66">
        <f>H406+H410</f>
        <v>140320</v>
      </c>
    </row>
    <row r="402" spans="1:8" ht="36" customHeight="1" x14ac:dyDescent="0.2">
      <c r="A402" s="15" t="s">
        <v>322</v>
      </c>
      <c r="B402" s="15" t="s">
        <v>13</v>
      </c>
      <c r="C402" s="9"/>
      <c r="D402" s="9"/>
      <c r="E402" s="21" t="s">
        <v>323</v>
      </c>
      <c r="F402" s="66">
        <f t="shared" ref="F402:H403" si="79">F403</f>
        <v>17999.8</v>
      </c>
      <c r="G402" s="66">
        <f t="shared" si="79"/>
        <v>0</v>
      </c>
      <c r="H402" s="66">
        <f t="shared" si="79"/>
        <v>0</v>
      </c>
    </row>
    <row r="403" spans="1:8" ht="39" customHeight="1" x14ac:dyDescent="0.2">
      <c r="A403" s="15" t="s">
        <v>322</v>
      </c>
      <c r="B403" s="15" t="s">
        <v>228</v>
      </c>
      <c r="C403" s="9"/>
      <c r="D403" s="9"/>
      <c r="E403" s="22" t="s">
        <v>229</v>
      </c>
      <c r="F403" s="66">
        <f t="shared" si="79"/>
        <v>17999.8</v>
      </c>
      <c r="G403" s="66">
        <f t="shared" si="79"/>
        <v>0</v>
      </c>
      <c r="H403" s="66">
        <f t="shared" si="79"/>
        <v>0</v>
      </c>
    </row>
    <row r="404" spans="1:8" ht="26.1" customHeight="1" x14ac:dyDescent="0.2">
      <c r="A404" s="15" t="s">
        <v>322</v>
      </c>
      <c r="B404" s="15" t="s">
        <v>230</v>
      </c>
      <c r="C404" s="9"/>
      <c r="D404" s="9"/>
      <c r="E404" s="30" t="s">
        <v>231</v>
      </c>
      <c r="F404" s="66">
        <f>F405</f>
        <v>17999.8</v>
      </c>
      <c r="G404" s="66">
        <f>SUM(G405:G409)</f>
        <v>0</v>
      </c>
      <c r="H404" s="66">
        <f>SUM(H405:H409)</f>
        <v>0</v>
      </c>
    </row>
    <row r="405" spans="1:8" ht="33" customHeight="1" x14ac:dyDescent="0.2">
      <c r="A405" s="15" t="s">
        <v>322</v>
      </c>
      <c r="B405" s="15" t="s">
        <v>230</v>
      </c>
      <c r="C405" s="14" t="s">
        <v>64</v>
      </c>
      <c r="D405" s="14" t="s">
        <v>289</v>
      </c>
      <c r="E405" s="79" t="s">
        <v>858</v>
      </c>
      <c r="F405" s="66">
        <v>17999.8</v>
      </c>
      <c r="G405" s="66">
        <v>0</v>
      </c>
      <c r="H405" s="66">
        <v>0</v>
      </c>
    </row>
    <row r="406" spans="1:8" ht="36.950000000000003" customHeight="1" x14ac:dyDescent="0.2">
      <c r="A406" s="9" t="s">
        <v>324</v>
      </c>
      <c r="B406" s="9" t="s">
        <v>13</v>
      </c>
      <c r="C406" s="9"/>
      <c r="D406" s="9"/>
      <c r="E406" s="12" t="s">
        <v>323</v>
      </c>
      <c r="F406" s="66">
        <f t="shared" ref="F406:H407" si="80">F407</f>
        <v>2662.8</v>
      </c>
      <c r="G406" s="66">
        <f t="shared" si="80"/>
        <v>0</v>
      </c>
      <c r="H406" s="66">
        <f t="shared" si="80"/>
        <v>0</v>
      </c>
    </row>
    <row r="407" spans="1:8" ht="39" customHeight="1" x14ac:dyDescent="0.2">
      <c r="A407" s="9" t="s">
        <v>324</v>
      </c>
      <c r="B407" s="9" t="s">
        <v>228</v>
      </c>
      <c r="C407" s="9"/>
      <c r="D407" s="9"/>
      <c r="E407" s="12" t="s">
        <v>229</v>
      </c>
      <c r="F407" s="66">
        <f t="shared" si="80"/>
        <v>2662.8</v>
      </c>
      <c r="G407" s="66">
        <f t="shared" si="80"/>
        <v>0</v>
      </c>
      <c r="H407" s="66">
        <f t="shared" si="80"/>
        <v>0</v>
      </c>
    </row>
    <row r="408" spans="1:8" ht="21" customHeight="1" x14ac:dyDescent="0.2">
      <c r="A408" s="14" t="s">
        <v>324</v>
      </c>
      <c r="B408" s="14" t="s">
        <v>230</v>
      </c>
      <c r="C408" s="14" t="s">
        <v>64</v>
      </c>
      <c r="D408" s="14" t="s">
        <v>289</v>
      </c>
      <c r="E408" s="30" t="s">
        <v>231</v>
      </c>
      <c r="F408" s="68">
        <f>SUM(F409:F409)</f>
        <v>2662.8</v>
      </c>
      <c r="G408" s="68">
        <f>SUM(G409:G409)</f>
        <v>0</v>
      </c>
      <c r="H408" s="68">
        <f>SUM(H409:H409)</f>
        <v>0</v>
      </c>
    </row>
    <row r="409" spans="1:8" ht="39.950000000000003" customHeight="1" x14ac:dyDescent="0.2">
      <c r="A409" s="9" t="s">
        <v>324</v>
      </c>
      <c r="B409" s="9" t="s">
        <v>230</v>
      </c>
      <c r="C409" s="9" t="s">
        <v>64</v>
      </c>
      <c r="D409" s="9" t="s">
        <v>289</v>
      </c>
      <c r="E409" s="79" t="s">
        <v>858</v>
      </c>
      <c r="F409" s="66">
        <v>2662.8</v>
      </c>
      <c r="G409" s="66">
        <v>0</v>
      </c>
      <c r="H409" s="66">
        <v>0</v>
      </c>
    </row>
    <row r="410" spans="1:8" ht="33" customHeight="1" x14ac:dyDescent="0.2">
      <c r="A410" s="9" t="s">
        <v>325</v>
      </c>
      <c r="B410" s="9" t="s">
        <v>13</v>
      </c>
      <c r="C410" s="9"/>
      <c r="D410" s="9"/>
      <c r="E410" s="19" t="s">
        <v>326</v>
      </c>
      <c r="F410" s="66">
        <f t="shared" ref="F410:H411" si="81">F411</f>
        <v>66624.426240000001</v>
      </c>
      <c r="G410" s="66">
        <f t="shared" si="81"/>
        <v>85500</v>
      </c>
      <c r="H410" s="66">
        <f t="shared" si="81"/>
        <v>140320</v>
      </c>
    </row>
    <row r="411" spans="1:8" ht="33.75" customHeight="1" x14ac:dyDescent="0.2">
      <c r="A411" s="9" t="s">
        <v>325</v>
      </c>
      <c r="B411" s="9" t="s">
        <v>228</v>
      </c>
      <c r="C411" s="9"/>
      <c r="D411" s="9"/>
      <c r="E411" s="20" t="s">
        <v>229</v>
      </c>
      <c r="F411" s="66">
        <f t="shared" si="81"/>
        <v>66624.426240000001</v>
      </c>
      <c r="G411" s="66">
        <f t="shared" si="81"/>
        <v>85500</v>
      </c>
      <c r="H411" s="66">
        <f t="shared" si="81"/>
        <v>140320</v>
      </c>
    </row>
    <row r="412" spans="1:8" ht="22.5" customHeight="1" x14ac:dyDescent="0.2">
      <c r="A412" s="14" t="s">
        <v>325</v>
      </c>
      <c r="B412" s="14" t="s">
        <v>230</v>
      </c>
      <c r="C412" s="14" t="s">
        <v>64</v>
      </c>
      <c r="D412" s="14" t="s">
        <v>289</v>
      </c>
      <c r="E412" s="30" t="s">
        <v>231</v>
      </c>
      <c r="F412" s="68">
        <f>SUM(F413:F481)</f>
        <v>66624.426240000001</v>
      </c>
      <c r="G412" s="68">
        <f>SUM(G413:G481)</f>
        <v>85500</v>
      </c>
      <c r="H412" s="68">
        <f>SUM(H413:H481)</f>
        <v>140320</v>
      </c>
    </row>
    <row r="413" spans="1:8" ht="33" customHeight="1" x14ac:dyDescent="0.2">
      <c r="A413" s="9" t="s">
        <v>325</v>
      </c>
      <c r="B413" s="9" t="s">
        <v>230</v>
      </c>
      <c r="C413" s="9" t="s">
        <v>64</v>
      </c>
      <c r="D413" s="9" t="s">
        <v>289</v>
      </c>
      <c r="E413" s="79" t="s">
        <v>858</v>
      </c>
      <c r="F413" s="77">
        <f>79.3+0.1+23</f>
        <v>102.39999999999999</v>
      </c>
      <c r="G413" s="66">
        <v>0</v>
      </c>
      <c r="H413" s="66">
        <v>0</v>
      </c>
    </row>
    <row r="414" spans="1:8" ht="36" customHeight="1" x14ac:dyDescent="0.2">
      <c r="A414" s="9" t="s">
        <v>325</v>
      </c>
      <c r="B414" s="9" t="s">
        <v>230</v>
      </c>
      <c r="C414" s="9" t="s">
        <v>64</v>
      </c>
      <c r="D414" s="9" t="s">
        <v>289</v>
      </c>
      <c r="E414" s="19" t="s">
        <v>327</v>
      </c>
      <c r="F414" s="66">
        <f>458.8+522+118.21237</f>
        <v>1099.0123699999999</v>
      </c>
      <c r="G414" s="66">
        <v>0</v>
      </c>
      <c r="H414" s="66">
        <v>0</v>
      </c>
    </row>
    <row r="415" spans="1:8" ht="39" customHeight="1" x14ac:dyDescent="0.2">
      <c r="A415" s="9" t="s">
        <v>325</v>
      </c>
      <c r="B415" s="9" t="s">
        <v>230</v>
      </c>
      <c r="C415" s="9" t="s">
        <v>64</v>
      </c>
      <c r="D415" s="9" t="s">
        <v>289</v>
      </c>
      <c r="E415" s="19" t="s">
        <v>328</v>
      </c>
      <c r="F415" s="66">
        <v>14717.4</v>
      </c>
      <c r="G415" s="66">
        <v>15000</v>
      </c>
      <c r="H415" s="66">
        <v>0</v>
      </c>
    </row>
    <row r="416" spans="1:8" ht="36" customHeight="1" x14ac:dyDescent="0.2">
      <c r="A416" s="9" t="s">
        <v>325</v>
      </c>
      <c r="B416" s="9" t="s">
        <v>230</v>
      </c>
      <c r="C416" s="9" t="s">
        <v>64</v>
      </c>
      <c r="D416" s="9" t="s">
        <v>289</v>
      </c>
      <c r="E416" s="19" t="s">
        <v>329</v>
      </c>
      <c r="F416" s="66">
        <f>2256-2256</f>
        <v>0</v>
      </c>
      <c r="G416" s="66">
        <v>0</v>
      </c>
      <c r="H416" s="66">
        <v>2500</v>
      </c>
    </row>
    <row r="417" spans="1:8" ht="36" customHeight="1" x14ac:dyDescent="0.2">
      <c r="A417" s="9" t="s">
        <v>325</v>
      </c>
      <c r="B417" s="9" t="s">
        <v>230</v>
      </c>
      <c r="C417" s="9" t="s">
        <v>64</v>
      </c>
      <c r="D417" s="9" t="s">
        <v>289</v>
      </c>
      <c r="E417" s="19" t="s">
        <v>330</v>
      </c>
      <c r="F417" s="66">
        <f>457.6+296+68.61294</f>
        <v>822.21294</v>
      </c>
      <c r="G417" s="66">
        <v>0</v>
      </c>
      <c r="H417" s="66">
        <v>0</v>
      </c>
    </row>
    <row r="418" spans="1:8" ht="33" customHeight="1" x14ac:dyDescent="0.2">
      <c r="A418" s="9" t="s">
        <v>325</v>
      </c>
      <c r="B418" s="9" t="s">
        <v>230</v>
      </c>
      <c r="C418" s="9" t="s">
        <v>64</v>
      </c>
      <c r="D418" s="9" t="s">
        <v>289</v>
      </c>
      <c r="E418" s="19" t="s">
        <v>331</v>
      </c>
      <c r="F418" s="66">
        <f>5320-5320</f>
        <v>0</v>
      </c>
      <c r="G418" s="66">
        <v>0</v>
      </c>
      <c r="H418" s="66">
        <v>2500</v>
      </c>
    </row>
    <row r="419" spans="1:8" ht="38.1" customHeight="1" x14ac:dyDescent="0.2">
      <c r="A419" s="9" t="s">
        <v>325</v>
      </c>
      <c r="B419" s="9" t="s">
        <v>230</v>
      </c>
      <c r="C419" s="9" t="s">
        <v>64</v>
      </c>
      <c r="D419" s="9" t="s">
        <v>289</v>
      </c>
      <c r="E419" s="19" t="s">
        <v>332</v>
      </c>
      <c r="F419" s="66">
        <f>3800-3500-300</f>
        <v>0</v>
      </c>
      <c r="G419" s="66">
        <f>3500</f>
        <v>3500</v>
      </c>
      <c r="H419" s="66">
        <v>3000</v>
      </c>
    </row>
    <row r="420" spans="1:8" ht="39" customHeight="1" x14ac:dyDescent="0.2">
      <c r="A420" s="9" t="s">
        <v>325</v>
      </c>
      <c r="B420" s="9" t="s">
        <v>230</v>
      </c>
      <c r="C420" s="9" t="s">
        <v>64</v>
      </c>
      <c r="D420" s="9" t="s">
        <v>289</v>
      </c>
      <c r="E420" s="19" t="s">
        <v>333</v>
      </c>
      <c r="F420" s="66">
        <f>1100-1000</f>
        <v>100</v>
      </c>
      <c r="G420" s="66">
        <f>1000</f>
        <v>1000</v>
      </c>
      <c r="H420" s="66">
        <v>0</v>
      </c>
    </row>
    <row r="421" spans="1:8" ht="36" customHeight="1" x14ac:dyDescent="0.2">
      <c r="A421" s="9" t="s">
        <v>325</v>
      </c>
      <c r="B421" s="9" t="s">
        <v>230</v>
      </c>
      <c r="C421" s="9" t="s">
        <v>64</v>
      </c>
      <c r="D421" s="9" t="s">
        <v>289</v>
      </c>
      <c r="E421" s="19" t="s">
        <v>334</v>
      </c>
      <c r="F421" s="77">
        <f>3638-23</f>
        <v>3615</v>
      </c>
      <c r="G421" s="66">
        <v>0</v>
      </c>
      <c r="H421" s="66">
        <v>0</v>
      </c>
    </row>
    <row r="422" spans="1:8" ht="45" customHeight="1" x14ac:dyDescent="0.2">
      <c r="A422" s="9" t="s">
        <v>325</v>
      </c>
      <c r="B422" s="9" t="s">
        <v>230</v>
      </c>
      <c r="C422" s="9" t="s">
        <v>64</v>
      </c>
      <c r="D422" s="9" t="s">
        <v>289</v>
      </c>
      <c r="E422" s="19" t="s">
        <v>335</v>
      </c>
      <c r="F422" s="77">
        <f>3631-3581+867.2021</f>
        <v>917.20209999999997</v>
      </c>
      <c r="G422" s="66">
        <v>0</v>
      </c>
      <c r="H422" s="66">
        <v>0</v>
      </c>
    </row>
    <row r="423" spans="1:8" ht="38.1" customHeight="1" x14ac:dyDescent="0.2">
      <c r="A423" s="9" t="s">
        <v>325</v>
      </c>
      <c r="B423" s="9" t="s">
        <v>230</v>
      </c>
      <c r="C423" s="9" t="s">
        <v>64</v>
      </c>
      <c r="D423" s="9" t="s">
        <v>289</v>
      </c>
      <c r="E423" s="19" t="s">
        <v>336</v>
      </c>
      <c r="F423" s="66">
        <v>2112.9</v>
      </c>
      <c r="G423" s="66">
        <v>0</v>
      </c>
      <c r="H423" s="66">
        <v>0</v>
      </c>
    </row>
    <row r="424" spans="1:8" ht="24.95" customHeight="1" x14ac:dyDescent="0.2">
      <c r="A424" s="9" t="s">
        <v>325</v>
      </c>
      <c r="B424" s="9" t="s">
        <v>230</v>
      </c>
      <c r="C424" s="9" t="s">
        <v>64</v>
      </c>
      <c r="D424" s="9" t="s">
        <v>289</v>
      </c>
      <c r="E424" s="19" t="s">
        <v>337</v>
      </c>
      <c r="F424" s="66">
        <v>242</v>
      </c>
      <c r="G424" s="66">
        <v>1500</v>
      </c>
      <c r="H424" s="66">
        <v>12500</v>
      </c>
    </row>
    <row r="425" spans="1:8" ht="36" customHeight="1" x14ac:dyDescent="0.2">
      <c r="A425" s="9" t="s">
        <v>325</v>
      </c>
      <c r="B425" s="9" t="s">
        <v>230</v>
      </c>
      <c r="C425" s="9" t="s">
        <v>64</v>
      </c>
      <c r="D425" s="9" t="s">
        <v>289</v>
      </c>
      <c r="E425" s="19" t="s">
        <v>338</v>
      </c>
      <c r="F425" s="66">
        <f>462.9+314+37.87883+200</f>
        <v>1014.77883</v>
      </c>
      <c r="G425" s="66">
        <v>0</v>
      </c>
      <c r="H425" s="66">
        <v>0</v>
      </c>
    </row>
    <row r="426" spans="1:8" ht="51.95" customHeight="1" x14ac:dyDescent="0.2">
      <c r="A426" s="9" t="s">
        <v>325</v>
      </c>
      <c r="B426" s="9" t="s">
        <v>230</v>
      </c>
      <c r="C426" s="9" t="s">
        <v>64</v>
      </c>
      <c r="D426" s="9" t="s">
        <v>289</v>
      </c>
      <c r="E426" s="19" t="s">
        <v>339</v>
      </c>
      <c r="F426" s="66">
        <f>1226.8+12683.52</f>
        <v>13910.32</v>
      </c>
      <c r="G426" s="66">
        <v>0</v>
      </c>
      <c r="H426" s="66">
        <v>0</v>
      </c>
    </row>
    <row r="427" spans="1:8" ht="50.1" customHeight="1" x14ac:dyDescent="0.2">
      <c r="A427" s="9" t="s">
        <v>325</v>
      </c>
      <c r="B427" s="9" t="s">
        <v>230</v>
      </c>
      <c r="C427" s="9" t="s">
        <v>64</v>
      </c>
      <c r="D427" s="9" t="s">
        <v>289</v>
      </c>
      <c r="E427" s="19" t="s">
        <v>340</v>
      </c>
      <c r="F427" s="66">
        <f>7138+1062-7900</f>
        <v>300</v>
      </c>
      <c r="G427" s="66">
        <v>8200</v>
      </c>
      <c r="H427" s="66">
        <v>0</v>
      </c>
    </row>
    <row r="428" spans="1:8" ht="38.1" customHeight="1" x14ac:dyDescent="0.2">
      <c r="A428" s="9" t="s">
        <v>325</v>
      </c>
      <c r="B428" s="9" t="s">
        <v>230</v>
      </c>
      <c r="C428" s="9" t="s">
        <v>64</v>
      </c>
      <c r="D428" s="9" t="s">
        <v>289</v>
      </c>
      <c r="E428" s="19" t="s">
        <v>341</v>
      </c>
      <c r="F428" s="66">
        <f>5320-5320</f>
        <v>0</v>
      </c>
      <c r="G428" s="66">
        <v>4000</v>
      </c>
      <c r="H428" s="66">
        <v>0</v>
      </c>
    </row>
    <row r="429" spans="1:8" ht="54" customHeight="1" x14ac:dyDescent="0.2">
      <c r="A429" s="9" t="s">
        <v>325</v>
      </c>
      <c r="B429" s="9" t="s">
        <v>230</v>
      </c>
      <c r="C429" s="9" t="s">
        <v>64</v>
      </c>
      <c r="D429" s="9" t="s">
        <v>289</v>
      </c>
      <c r="E429" s="19" t="s">
        <v>342</v>
      </c>
      <c r="F429" s="66">
        <f>200-200</f>
        <v>0</v>
      </c>
      <c r="G429" s="66">
        <v>1500</v>
      </c>
      <c r="H429" s="66">
        <v>0</v>
      </c>
    </row>
    <row r="430" spans="1:8" ht="66" customHeight="1" x14ac:dyDescent="0.2">
      <c r="A430" s="9" t="s">
        <v>325</v>
      </c>
      <c r="B430" s="9" t="s">
        <v>230</v>
      </c>
      <c r="C430" s="9" t="s">
        <v>64</v>
      </c>
      <c r="D430" s="9" t="s">
        <v>289</v>
      </c>
      <c r="E430" s="19" t="s">
        <v>343</v>
      </c>
      <c r="F430" s="66">
        <f>13680-13000-680</f>
        <v>0</v>
      </c>
      <c r="G430" s="77">
        <f>13000-13000</f>
        <v>0</v>
      </c>
      <c r="H430" s="66">
        <v>10000</v>
      </c>
    </row>
    <row r="431" spans="1:8" ht="39.950000000000003" customHeight="1" x14ac:dyDescent="0.2">
      <c r="A431" s="9" t="s">
        <v>325</v>
      </c>
      <c r="B431" s="9" t="s">
        <v>230</v>
      </c>
      <c r="C431" s="9" t="s">
        <v>64</v>
      </c>
      <c r="D431" s="9" t="s">
        <v>289</v>
      </c>
      <c r="E431" s="19" t="s">
        <v>344</v>
      </c>
      <c r="F431" s="66">
        <f>3980-3500-480</f>
        <v>0</v>
      </c>
      <c r="G431" s="77">
        <f>3500-1100</f>
        <v>2400</v>
      </c>
      <c r="H431" s="66">
        <v>4000</v>
      </c>
    </row>
    <row r="432" spans="1:8" ht="51" customHeight="1" x14ac:dyDescent="0.2">
      <c r="A432" s="9" t="s">
        <v>325</v>
      </c>
      <c r="B432" s="9" t="s">
        <v>230</v>
      </c>
      <c r="C432" s="9" t="s">
        <v>64</v>
      </c>
      <c r="D432" s="9" t="s">
        <v>289</v>
      </c>
      <c r="E432" s="19" t="s">
        <v>345</v>
      </c>
      <c r="F432" s="66">
        <f>13200-13000-200</f>
        <v>0</v>
      </c>
      <c r="G432" s="66">
        <f>1000+13000</f>
        <v>14000</v>
      </c>
      <c r="H432" s="66">
        <v>18000</v>
      </c>
    </row>
    <row r="433" spans="1:8" ht="42.95" customHeight="1" x14ac:dyDescent="0.2">
      <c r="A433" s="9" t="s">
        <v>325</v>
      </c>
      <c r="B433" s="9" t="s">
        <v>230</v>
      </c>
      <c r="C433" s="9" t="s">
        <v>64</v>
      </c>
      <c r="D433" s="9" t="s">
        <v>289</v>
      </c>
      <c r="E433" s="19" t="s">
        <v>346</v>
      </c>
      <c r="F433" s="66">
        <f>318.3+5180</f>
        <v>5498.3</v>
      </c>
      <c r="G433" s="66">
        <v>0</v>
      </c>
      <c r="H433" s="66">
        <v>0</v>
      </c>
    </row>
    <row r="434" spans="1:8" ht="71.099999999999994" customHeight="1" x14ac:dyDescent="0.2">
      <c r="A434" s="9" t="s">
        <v>325</v>
      </c>
      <c r="B434" s="9" t="s">
        <v>230</v>
      </c>
      <c r="C434" s="9" t="s">
        <v>64</v>
      </c>
      <c r="D434" s="9" t="s">
        <v>289</v>
      </c>
      <c r="E434" s="19" t="s">
        <v>347</v>
      </c>
      <c r="F434" s="66">
        <f>902.4+9953.08</f>
        <v>10855.48</v>
      </c>
      <c r="G434" s="66">
        <v>0</v>
      </c>
      <c r="H434" s="66">
        <v>0</v>
      </c>
    </row>
    <row r="435" spans="1:8" ht="50.1" customHeight="1" x14ac:dyDescent="0.2">
      <c r="A435" s="9" t="s">
        <v>325</v>
      </c>
      <c r="B435" s="9" t="s">
        <v>230</v>
      </c>
      <c r="C435" s="9" t="s">
        <v>64</v>
      </c>
      <c r="D435" s="9" t="s">
        <v>289</v>
      </c>
      <c r="E435" s="19" t="s">
        <v>348</v>
      </c>
      <c r="F435" s="66">
        <f>87.8+10398.6</f>
        <v>10486.4</v>
      </c>
      <c r="G435" s="66">
        <v>0</v>
      </c>
      <c r="H435" s="66">
        <v>0</v>
      </c>
    </row>
    <row r="436" spans="1:8" ht="66.95" customHeight="1" x14ac:dyDescent="0.2">
      <c r="A436" s="9" t="s">
        <v>325</v>
      </c>
      <c r="B436" s="9" t="s">
        <v>230</v>
      </c>
      <c r="C436" s="9" t="s">
        <v>64</v>
      </c>
      <c r="D436" s="9" t="s">
        <v>289</v>
      </c>
      <c r="E436" s="19" t="s">
        <v>349</v>
      </c>
      <c r="F436" s="66">
        <f>71.6+165.7</f>
        <v>237.29999999999998</v>
      </c>
      <c r="G436" s="66">
        <v>0</v>
      </c>
      <c r="H436" s="66">
        <v>0</v>
      </c>
    </row>
    <row r="437" spans="1:8" ht="53.1" customHeight="1" x14ac:dyDescent="0.2">
      <c r="A437" s="9" t="s">
        <v>325</v>
      </c>
      <c r="B437" s="9" t="s">
        <v>230</v>
      </c>
      <c r="C437" s="9" t="s">
        <v>64</v>
      </c>
      <c r="D437" s="9" t="s">
        <v>289</v>
      </c>
      <c r="E437" s="19" t="s">
        <v>350</v>
      </c>
      <c r="F437" s="66">
        <f>1146.2-1095.03</f>
        <v>51.170000000000073</v>
      </c>
      <c r="G437" s="66">
        <v>12000</v>
      </c>
      <c r="H437" s="66">
        <v>0</v>
      </c>
    </row>
    <row r="438" spans="1:8" ht="50.1" customHeight="1" x14ac:dyDescent="0.2">
      <c r="A438" s="9" t="s">
        <v>325</v>
      </c>
      <c r="B438" s="9" t="s">
        <v>230</v>
      </c>
      <c r="C438" s="9" t="s">
        <v>64</v>
      </c>
      <c r="D438" s="9" t="s">
        <v>289</v>
      </c>
      <c r="E438" s="19" t="s">
        <v>351</v>
      </c>
      <c r="F438" s="66">
        <f>3513.2-3372.65</f>
        <v>140.54999999999973</v>
      </c>
      <c r="G438" s="66">
        <v>0</v>
      </c>
      <c r="H438" s="66">
        <v>0</v>
      </c>
    </row>
    <row r="439" spans="1:8" ht="32.25" customHeight="1" x14ac:dyDescent="0.2">
      <c r="A439" s="15" t="s">
        <v>325</v>
      </c>
      <c r="B439" s="15" t="s">
        <v>230</v>
      </c>
      <c r="C439" s="9" t="s">
        <v>64</v>
      </c>
      <c r="D439" s="9" t="s">
        <v>289</v>
      </c>
      <c r="E439" s="18" t="s">
        <v>352</v>
      </c>
      <c r="F439" s="66">
        <v>54</v>
      </c>
      <c r="G439" s="66">
        <v>0</v>
      </c>
      <c r="H439" s="66">
        <v>0</v>
      </c>
    </row>
    <row r="440" spans="1:8" ht="34.5" customHeight="1" x14ac:dyDescent="0.2">
      <c r="A440" s="15" t="s">
        <v>325</v>
      </c>
      <c r="B440" s="15" t="s">
        <v>230</v>
      </c>
      <c r="C440" s="9" t="s">
        <v>64</v>
      </c>
      <c r="D440" s="9" t="s">
        <v>289</v>
      </c>
      <c r="E440" s="18" t="s">
        <v>353</v>
      </c>
      <c r="F440" s="66">
        <v>273</v>
      </c>
      <c r="G440" s="66">
        <v>0</v>
      </c>
      <c r="H440" s="66">
        <v>0</v>
      </c>
    </row>
    <row r="441" spans="1:8" ht="50.1" customHeight="1" x14ac:dyDescent="0.2">
      <c r="A441" s="15" t="s">
        <v>325</v>
      </c>
      <c r="B441" s="15" t="s">
        <v>230</v>
      </c>
      <c r="C441" s="9" t="s">
        <v>64</v>
      </c>
      <c r="D441" s="9" t="s">
        <v>289</v>
      </c>
      <c r="E441" s="11" t="s">
        <v>354</v>
      </c>
      <c r="F441" s="66">
        <v>75</v>
      </c>
      <c r="G441" s="66">
        <v>0</v>
      </c>
      <c r="H441" s="66">
        <v>0</v>
      </c>
    </row>
    <row r="442" spans="1:8" ht="48" customHeight="1" x14ac:dyDescent="0.2">
      <c r="A442" s="9" t="s">
        <v>325</v>
      </c>
      <c r="B442" s="9" t="s">
        <v>230</v>
      </c>
      <c r="C442" s="9" t="s">
        <v>64</v>
      </c>
      <c r="D442" s="9" t="s">
        <v>289</v>
      </c>
      <c r="E442" s="19" t="s">
        <v>355</v>
      </c>
      <c r="F442" s="66">
        <f>600-600</f>
        <v>0</v>
      </c>
      <c r="G442" s="66">
        <v>0</v>
      </c>
      <c r="H442" s="66">
        <v>5440</v>
      </c>
    </row>
    <row r="443" spans="1:8" ht="54.95" customHeight="1" x14ac:dyDescent="0.2">
      <c r="A443" s="9" t="s">
        <v>325</v>
      </c>
      <c r="B443" s="9" t="s">
        <v>230</v>
      </c>
      <c r="C443" s="9" t="s">
        <v>64</v>
      </c>
      <c r="D443" s="9" t="s">
        <v>289</v>
      </c>
      <c r="E443" s="19" t="s">
        <v>356</v>
      </c>
      <c r="F443" s="66">
        <f>11120-11000-120</f>
        <v>0</v>
      </c>
      <c r="G443" s="66">
        <f>11000</f>
        <v>11000</v>
      </c>
      <c r="H443" s="66">
        <v>10000</v>
      </c>
    </row>
    <row r="444" spans="1:8" ht="51" customHeight="1" x14ac:dyDescent="0.2">
      <c r="A444" s="9" t="s">
        <v>325</v>
      </c>
      <c r="B444" s="9" t="s">
        <v>230</v>
      </c>
      <c r="C444" s="9" t="s">
        <v>64</v>
      </c>
      <c r="D444" s="9" t="s">
        <v>289</v>
      </c>
      <c r="E444" s="19" t="s">
        <v>357</v>
      </c>
      <c r="F444" s="66">
        <v>0</v>
      </c>
      <c r="G444" s="66">
        <v>1000</v>
      </c>
      <c r="H444" s="66">
        <v>0</v>
      </c>
    </row>
    <row r="445" spans="1:8" ht="48.95" customHeight="1" x14ac:dyDescent="0.2">
      <c r="A445" s="9" t="s">
        <v>325</v>
      </c>
      <c r="B445" s="9" t="s">
        <v>230</v>
      </c>
      <c r="C445" s="9" t="s">
        <v>64</v>
      </c>
      <c r="D445" s="9" t="s">
        <v>289</v>
      </c>
      <c r="E445" s="19" t="s">
        <v>358</v>
      </c>
      <c r="F445" s="66">
        <v>0</v>
      </c>
      <c r="G445" s="66">
        <v>1000</v>
      </c>
      <c r="H445" s="66">
        <v>6400</v>
      </c>
    </row>
    <row r="446" spans="1:8" ht="51.95" customHeight="1" x14ac:dyDescent="0.2">
      <c r="A446" s="9" t="s">
        <v>325</v>
      </c>
      <c r="B446" s="9" t="s">
        <v>230</v>
      </c>
      <c r="C446" s="9" t="s">
        <v>64</v>
      </c>
      <c r="D446" s="9" t="s">
        <v>289</v>
      </c>
      <c r="E446" s="19" t="s">
        <v>359</v>
      </c>
      <c r="F446" s="66">
        <v>0</v>
      </c>
      <c r="G446" s="66">
        <v>1000</v>
      </c>
      <c r="H446" s="66">
        <v>6340</v>
      </c>
    </row>
    <row r="447" spans="1:8" ht="48.95" customHeight="1" x14ac:dyDescent="0.2">
      <c r="A447" s="9" t="s">
        <v>325</v>
      </c>
      <c r="B447" s="9" t="s">
        <v>230</v>
      </c>
      <c r="C447" s="9" t="s">
        <v>64</v>
      </c>
      <c r="D447" s="9" t="s">
        <v>289</v>
      </c>
      <c r="E447" s="19" t="s">
        <v>360</v>
      </c>
      <c r="F447" s="66">
        <v>0</v>
      </c>
      <c r="G447" s="66">
        <v>1000</v>
      </c>
      <c r="H447" s="66">
        <v>4100</v>
      </c>
    </row>
    <row r="448" spans="1:8" ht="45.95" customHeight="1" x14ac:dyDescent="0.2">
      <c r="A448" s="9" t="s">
        <v>325</v>
      </c>
      <c r="B448" s="9" t="s">
        <v>230</v>
      </c>
      <c r="C448" s="9" t="s">
        <v>64</v>
      </c>
      <c r="D448" s="9" t="s">
        <v>289</v>
      </c>
      <c r="E448" s="19" t="s">
        <v>361</v>
      </c>
      <c r="F448" s="66">
        <v>0</v>
      </c>
      <c r="G448" s="66">
        <v>1000</v>
      </c>
      <c r="H448" s="66">
        <v>3540</v>
      </c>
    </row>
    <row r="449" spans="1:8" ht="47.1" customHeight="1" x14ac:dyDescent="0.2">
      <c r="A449" s="9" t="s">
        <v>325</v>
      </c>
      <c r="B449" s="9" t="s">
        <v>230</v>
      </c>
      <c r="C449" s="9" t="s">
        <v>64</v>
      </c>
      <c r="D449" s="9" t="s">
        <v>289</v>
      </c>
      <c r="E449" s="19" t="s">
        <v>362</v>
      </c>
      <c r="F449" s="66">
        <v>0</v>
      </c>
      <c r="G449" s="66">
        <v>1000</v>
      </c>
      <c r="H449" s="66">
        <v>5180</v>
      </c>
    </row>
    <row r="450" spans="1:8" ht="51.95" customHeight="1" x14ac:dyDescent="0.2">
      <c r="A450" s="9" t="s">
        <v>325</v>
      </c>
      <c r="B450" s="9" t="s">
        <v>230</v>
      </c>
      <c r="C450" s="9" t="s">
        <v>64</v>
      </c>
      <c r="D450" s="9" t="s">
        <v>289</v>
      </c>
      <c r="E450" s="19" t="s">
        <v>363</v>
      </c>
      <c r="F450" s="66">
        <v>0</v>
      </c>
      <c r="G450" s="66">
        <v>1000</v>
      </c>
      <c r="H450" s="66">
        <v>5400</v>
      </c>
    </row>
    <row r="451" spans="1:8" ht="48.95" customHeight="1" x14ac:dyDescent="0.2">
      <c r="A451" s="9" t="s">
        <v>325</v>
      </c>
      <c r="B451" s="9" t="s">
        <v>230</v>
      </c>
      <c r="C451" s="9" t="s">
        <v>64</v>
      </c>
      <c r="D451" s="9" t="s">
        <v>289</v>
      </c>
      <c r="E451" s="19" t="s">
        <v>364</v>
      </c>
      <c r="F451" s="66">
        <v>0</v>
      </c>
      <c r="G451" s="66">
        <v>1000</v>
      </c>
      <c r="H451" s="66">
        <v>6520</v>
      </c>
    </row>
    <row r="452" spans="1:8" ht="36" customHeight="1" x14ac:dyDescent="0.2">
      <c r="A452" s="9" t="s">
        <v>325</v>
      </c>
      <c r="B452" s="9" t="s">
        <v>230</v>
      </c>
      <c r="C452" s="9" t="s">
        <v>64</v>
      </c>
      <c r="D452" s="9" t="s">
        <v>289</v>
      </c>
      <c r="E452" s="19" t="s">
        <v>365</v>
      </c>
      <c r="F452" s="66">
        <v>0</v>
      </c>
      <c r="G452" s="66">
        <v>2400</v>
      </c>
      <c r="H452" s="66">
        <v>0</v>
      </c>
    </row>
    <row r="453" spans="1:8" ht="96" customHeight="1" x14ac:dyDescent="0.2">
      <c r="A453" s="9" t="s">
        <v>325</v>
      </c>
      <c r="B453" s="9" t="s">
        <v>230</v>
      </c>
      <c r="C453" s="9" t="s">
        <v>64</v>
      </c>
      <c r="D453" s="9" t="s">
        <v>289</v>
      </c>
      <c r="E453" s="19" t="s">
        <v>366</v>
      </c>
      <c r="F453" s="66">
        <v>0</v>
      </c>
      <c r="G453" s="66">
        <v>1000</v>
      </c>
      <c r="H453" s="66">
        <v>3480</v>
      </c>
    </row>
    <row r="454" spans="1:8" ht="36.950000000000003" customHeight="1" x14ac:dyDescent="0.2">
      <c r="A454" s="9" t="s">
        <v>325</v>
      </c>
      <c r="B454" s="9" t="s">
        <v>230</v>
      </c>
      <c r="C454" s="9" t="s">
        <v>64</v>
      </c>
      <c r="D454" s="9" t="s">
        <v>289</v>
      </c>
      <c r="E454" s="19" t="s">
        <v>367</v>
      </c>
      <c r="F454" s="66">
        <v>0</v>
      </c>
      <c r="G454" s="66">
        <v>0</v>
      </c>
      <c r="H454" s="66">
        <v>1000</v>
      </c>
    </row>
    <row r="455" spans="1:8" ht="48" customHeight="1" x14ac:dyDescent="0.2">
      <c r="A455" s="9" t="s">
        <v>325</v>
      </c>
      <c r="B455" s="9" t="s">
        <v>230</v>
      </c>
      <c r="C455" s="9" t="s">
        <v>64</v>
      </c>
      <c r="D455" s="9" t="s">
        <v>289</v>
      </c>
      <c r="E455" s="19" t="s">
        <v>368</v>
      </c>
      <c r="F455" s="66">
        <v>0</v>
      </c>
      <c r="G455" s="66">
        <v>0</v>
      </c>
      <c r="H455" s="66">
        <v>1000</v>
      </c>
    </row>
    <row r="456" spans="1:8" ht="48.95" customHeight="1" x14ac:dyDescent="0.2">
      <c r="A456" s="9" t="s">
        <v>325</v>
      </c>
      <c r="B456" s="9" t="s">
        <v>230</v>
      </c>
      <c r="C456" s="9" t="s">
        <v>64</v>
      </c>
      <c r="D456" s="9" t="s">
        <v>289</v>
      </c>
      <c r="E456" s="19" t="s">
        <v>369</v>
      </c>
      <c r="F456" s="66">
        <v>0</v>
      </c>
      <c r="G456" s="66">
        <v>0</v>
      </c>
      <c r="H456" s="66">
        <v>1000</v>
      </c>
    </row>
    <row r="457" spans="1:8" ht="47.1" customHeight="1" x14ac:dyDescent="0.2">
      <c r="A457" s="9" t="s">
        <v>325</v>
      </c>
      <c r="B457" s="9" t="s">
        <v>230</v>
      </c>
      <c r="C457" s="9" t="s">
        <v>64</v>
      </c>
      <c r="D457" s="9" t="s">
        <v>289</v>
      </c>
      <c r="E457" s="19" t="s">
        <v>370</v>
      </c>
      <c r="F457" s="66">
        <v>0</v>
      </c>
      <c r="G457" s="66">
        <v>0</v>
      </c>
      <c r="H457" s="66">
        <v>1000</v>
      </c>
    </row>
    <row r="458" spans="1:8" ht="51" customHeight="1" x14ac:dyDescent="0.2">
      <c r="A458" s="9" t="s">
        <v>325</v>
      </c>
      <c r="B458" s="9" t="s">
        <v>230</v>
      </c>
      <c r="C458" s="9" t="s">
        <v>64</v>
      </c>
      <c r="D458" s="9" t="s">
        <v>289</v>
      </c>
      <c r="E458" s="19" t="s">
        <v>371</v>
      </c>
      <c r="F458" s="66">
        <v>0</v>
      </c>
      <c r="G458" s="66">
        <v>0</v>
      </c>
      <c r="H458" s="66">
        <v>1000</v>
      </c>
    </row>
    <row r="459" spans="1:8" ht="33.950000000000003" customHeight="1" x14ac:dyDescent="0.2">
      <c r="A459" s="9" t="s">
        <v>325</v>
      </c>
      <c r="B459" s="9" t="s">
        <v>230</v>
      </c>
      <c r="C459" s="9" t="s">
        <v>64</v>
      </c>
      <c r="D459" s="9" t="s">
        <v>289</v>
      </c>
      <c r="E459" s="19" t="s">
        <v>372</v>
      </c>
      <c r="F459" s="66">
        <v>0</v>
      </c>
      <c r="G459" s="66">
        <v>0</v>
      </c>
      <c r="H459" s="66">
        <v>1000</v>
      </c>
    </row>
    <row r="460" spans="1:8" ht="35.1" customHeight="1" x14ac:dyDescent="0.2">
      <c r="A460" s="9" t="s">
        <v>325</v>
      </c>
      <c r="B460" s="9" t="s">
        <v>230</v>
      </c>
      <c r="C460" s="9" t="s">
        <v>64</v>
      </c>
      <c r="D460" s="9" t="s">
        <v>289</v>
      </c>
      <c r="E460" s="19" t="s">
        <v>373</v>
      </c>
      <c r="F460" s="66">
        <v>0</v>
      </c>
      <c r="G460" s="66">
        <v>0</v>
      </c>
      <c r="H460" s="66">
        <v>1000</v>
      </c>
    </row>
    <row r="461" spans="1:8" ht="36" customHeight="1" x14ac:dyDescent="0.2">
      <c r="A461" s="9" t="s">
        <v>325</v>
      </c>
      <c r="B461" s="9" t="s">
        <v>230</v>
      </c>
      <c r="C461" s="9" t="s">
        <v>64</v>
      </c>
      <c r="D461" s="9" t="s">
        <v>289</v>
      </c>
      <c r="E461" s="19" t="s">
        <v>374</v>
      </c>
      <c r="F461" s="66">
        <v>0</v>
      </c>
      <c r="G461" s="66">
        <v>0</v>
      </c>
      <c r="H461" s="66">
        <v>500</v>
      </c>
    </row>
    <row r="462" spans="1:8" ht="33.950000000000003" customHeight="1" x14ac:dyDescent="0.2">
      <c r="A462" s="9" t="s">
        <v>325</v>
      </c>
      <c r="B462" s="9" t="s">
        <v>230</v>
      </c>
      <c r="C462" s="9" t="s">
        <v>64</v>
      </c>
      <c r="D462" s="9" t="s">
        <v>289</v>
      </c>
      <c r="E462" s="19" t="s">
        <v>375</v>
      </c>
      <c r="F462" s="66">
        <v>0</v>
      </c>
      <c r="G462" s="66">
        <v>0</v>
      </c>
      <c r="H462" s="66">
        <v>2100</v>
      </c>
    </row>
    <row r="463" spans="1:8" ht="72" customHeight="1" x14ac:dyDescent="0.2">
      <c r="A463" s="9" t="s">
        <v>325</v>
      </c>
      <c r="B463" s="9" t="s">
        <v>230</v>
      </c>
      <c r="C463" s="9" t="s">
        <v>64</v>
      </c>
      <c r="D463" s="9" t="s">
        <v>289</v>
      </c>
      <c r="E463" s="19" t="s">
        <v>376</v>
      </c>
      <c r="F463" s="66">
        <v>0</v>
      </c>
      <c r="G463" s="66">
        <v>0</v>
      </c>
      <c r="H463" s="66">
        <v>1000</v>
      </c>
    </row>
    <row r="464" spans="1:8" ht="69" customHeight="1" x14ac:dyDescent="0.2">
      <c r="A464" s="9" t="s">
        <v>325</v>
      </c>
      <c r="B464" s="9" t="s">
        <v>230</v>
      </c>
      <c r="C464" s="9" t="s">
        <v>64</v>
      </c>
      <c r="D464" s="9" t="s">
        <v>289</v>
      </c>
      <c r="E464" s="19" t="s">
        <v>377</v>
      </c>
      <c r="F464" s="66">
        <v>0</v>
      </c>
      <c r="G464" s="66">
        <v>0</v>
      </c>
      <c r="H464" s="66">
        <v>1000</v>
      </c>
    </row>
    <row r="465" spans="1:8" ht="54" customHeight="1" x14ac:dyDescent="0.2">
      <c r="A465" s="9" t="s">
        <v>325</v>
      </c>
      <c r="B465" s="9" t="s">
        <v>230</v>
      </c>
      <c r="C465" s="9" t="s">
        <v>64</v>
      </c>
      <c r="D465" s="9" t="s">
        <v>289</v>
      </c>
      <c r="E465" s="19" t="s">
        <v>378</v>
      </c>
      <c r="F465" s="66">
        <v>0</v>
      </c>
      <c r="G465" s="66">
        <v>0</v>
      </c>
      <c r="H465" s="66">
        <v>1000</v>
      </c>
    </row>
    <row r="466" spans="1:8" ht="47.1" customHeight="1" x14ac:dyDescent="0.2">
      <c r="A466" s="9" t="s">
        <v>325</v>
      </c>
      <c r="B466" s="9" t="s">
        <v>230</v>
      </c>
      <c r="C466" s="9" t="s">
        <v>64</v>
      </c>
      <c r="D466" s="9" t="s">
        <v>289</v>
      </c>
      <c r="E466" s="19" t="s">
        <v>379</v>
      </c>
      <c r="F466" s="66">
        <v>0</v>
      </c>
      <c r="G466" s="66">
        <f>5560-5560</f>
        <v>0</v>
      </c>
      <c r="H466" s="66">
        <v>1000</v>
      </c>
    </row>
    <row r="467" spans="1:8" ht="99.95" customHeight="1" x14ac:dyDescent="0.2">
      <c r="A467" s="9" t="s">
        <v>325</v>
      </c>
      <c r="B467" s="9" t="s">
        <v>230</v>
      </c>
      <c r="C467" s="9" t="s">
        <v>64</v>
      </c>
      <c r="D467" s="9" t="s">
        <v>289</v>
      </c>
      <c r="E467" s="19" t="s">
        <v>380</v>
      </c>
      <c r="F467" s="66">
        <v>0</v>
      </c>
      <c r="G467" s="66">
        <v>0</v>
      </c>
      <c r="H467" s="66">
        <v>3820</v>
      </c>
    </row>
    <row r="468" spans="1:8" ht="29.1" customHeight="1" x14ac:dyDescent="0.2">
      <c r="A468" s="9" t="s">
        <v>325</v>
      </c>
      <c r="B468" s="9" t="s">
        <v>230</v>
      </c>
      <c r="C468" s="9" t="s">
        <v>64</v>
      </c>
      <c r="D468" s="9" t="s">
        <v>289</v>
      </c>
      <c r="E468" s="19" t="s">
        <v>381</v>
      </c>
      <c r="F468" s="66">
        <v>0</v>
      </c>
      <c r="G468" s="66">
        <v>0</v>
      </c>
      <c r="H468" s="66">
        <v>1000</v>
      </c>
    </row>
    <row r="469" spans="1:8" ht="81.95" customHeight="1" x14ac:dyDescent="0.2">
      <c r="A469" s="9" t="s">
        <v>325</v>
      </c>
      <c r="B469" s="9" t="s">
        <v>230</v>
      </c>
      <c r="C469" s="9" t="s">
        <v>64</v>
      </c>
      <c r="D469" s="9" t="s">
        <v>289</v>
      </c>
      <c r="E469" s="19" t="s">
        <v>382</v>
      </c>
      <c r="F469" s="66">
        <v>0</v>
      </c>
      <c r="G469" s="66">
        <v>0</v>
      </c>
      <c r="H469" s="66">
        <v>1000</v>
      </c>
    </row>
    <row r="470" spans="1:8" ht="51" customHeight="1" x14ac:dyDescent="0.2">
      <c r="A470" s="9" t="s">
        <v>325</v>
      </c>
      <c r="B470" s="9" t="s">
        <v>230</v>
      </c>
      <c r="C470" s="9" t="s">
        <v>64</v>
      </c>
      <c r="D470" s="9" t="s">
        <v>289</v>
      </c>
      <c r="E470" s="19" t="s">
        <v>383</v>
      </c>
      <c r="F470" s="66">
        <v>0</v>
      </c>
      <c r="G470" s="66">
        <v>0</v>
      </c>
      <c r="H470" s="66">
        <v>1000</v>
      </c>
    </row>
    <row r="471" spans="1:8" ht="48.95" customHeight="1" x14ac:dyDescent="0.2">
      <c r="A471" s="9" t="s">
        <v>325</v>
      </c>
      <c r="B471" s="9" t="s">
        <v>230</v>
      </c>
      <c r="C471" s="9" t="s">
        <v>64</v>
      </c>
      <c r="D471" s="9" t="s">
        <v>289</v>
      </c>
      <c r="E471" s="19" t="s">
        <v>384</v>
      </c>
      <c r="F471" s="66">
        <v>0</v>
      </c>
      <c r="G471" s="66">
        <v>0</v>
      </c>
      <c r="H471" s="66">
        <v>1000</v>
      </c>
    </row>
    <row r="472" spans="1:8" ht="54" customHeight="1" x14ac:dyDescent="0.2">
      <c r="A472" s="9" t="s">
        <v>325</v>
      </c>
      <c r="B472" s="9" t="s">
        <v>230</v>
      </c>
      <c r="C472" s="9" t="s">
        <v>64</v>
      </c>
      <c r="D472" s="9" t="s">
        <v>289</v>
      </c>
      <c r="E472" s="19" t="s">
        <v>385</v>
      </c>
      <c r="F472" s="66">
        <v>0</v>
      </c>
      <c r="G472" s="66">
        <v>0</v>
      </c>
      <c r="H472" s="66">
        <v>1000</v>
      </c>
    </row>
    <row r="473" spans="1:8" ht="48" customHeight="1" x14ac:dyDescent="0.2">
      <c r="A473" s="9" t="s">
        <v>325</v>
      </c>
      <c r="B473" s="9" t="s">
        <v>230</v>
      </c>
      <c r="C473" s="9" t="s">
        <v>64</v>
      </c>
      <c r="D473" s="9" t="s">
        <v>289</v>
      </c>
      <c r="E473" s="19" t="s">
        <v>386</v>
      </c>
      <c r="F473" s="66">
        <v>0</v>
      </c>
      <c r="G473" s="66">
        <v>0</v>
      </c>
      <c r="H473" s="66">
        <v>1000</v>
      </c>
    </row>
    <row r="474" spans="1:8" ht="54.95" customHeight="1" x14ac:dyDescent="0.2">
      <c r="A474" s="9" t="s">
        <v>325</v>
      </c>
      <c r="B474" s="9" t="s">
        <v>230</v>
      </c>
      <c r="C474" s="9" t="s">
        <v>64</v>
      </c>
      <c r="D474" s="9" t="s">
        <v>289</v>
      </c>
      <c r="E474" s="19" t="s">
        <v>387</v>
      </c>
      <c r="F474" s="66">
        <v>0</v>
      </c>
      <c r="G474" s="66">
        <v>0</v>
      </c>
      <c r="H474" s="66">
        <v>1000</v>
      </c>
    </row>
    <row r="475" spans="1:8" ht="45" customHeight="1" x14ac:dyDescent="0.2">
      <c r="A475" s="9" t="s">
        <v>325</v>
      </c>
      <c r="B475" s="9" t="s">
        <v>230</v>
      </c>
      <c r="C475" s="9" t="s">
        <v>64</v>
      </c>
      <c r="D475" s="9" t="s">
        <v>289</v>
      </c>
      <c r="E475" s="19" t="s">
        <v>388</v>
      </c>
      <c r="F475" s="66">
        <v>0</v>
      </c>
      <c r="G475" s="66">
        <v>0</v>
      </c>
      <c r="H475" s="66">
        <v>1000</v>
      </c>
    </row>
    <row r="476" spans="1:8" ht="51.95" customHeight="1" x14ac:dyDescent="0.2">
      <c r="A476" s="9" t="s">
        <v>325</v>
      </c>
      <c r="B476" s="9" t="s">
        <v>230</v>
      </c>
      <c r="C476" s="9" t="s">
        <v>64</v>
      </c>
      <c r="D476" s="9" t="s">
        <v>289</v>
      </c>
      <c r="E476" s="19" t="s">
        <v>389</v>
      </c>
      <c r="F476" s="66">
        <v>0</v>
      </c>
      <c r="G476" s="66">
        <v>0</v>
      </c>
      <c r="H476" s="66">
        <v>1000</v>
      </c>
    </row>
    <row r="477" spans="1:8" ht="48.95" customHeight="1" x14ac:dyDescent="0.2">
      <c r="A477" s="9" t="s">
        <v>325</v>
      </c>
      <c r="B477" s="9" t="s">
        <v>230</v>
      </c>
      <c r="C477" s="9" t="s">
        <v>64</v>
      </c>
      <c r="D477" s="9" t="s">
        <v>289</v>
      </c>
      <c r="E477" s="19" t="s">
        <v>390</v>
      </c>
      <c r="F477" s="66">
        <v>0</v>
      </c>
      <c r="G477" s="66">
        <v>0</v>
      </c>
      <c r="H477" s="66">
        <v>1000</v>
      </c>
    </row>
    <row r="478" spans="1:8" ht="54" customHeight="1" x14ac:dyDescent="0.2">
      <c r="A478" s="9" t="s">
        <v>325</v>
      </c>
      <c r="B478" s="9" t="s">
        <v>230</v>
      </c>
      <c r="C478" s="9" t="s">
        <v>64</v>
      </c>
      <c r="D478" s="9" t="s">
        <v>289</v>
      </c>
      <c r="E478" s="19" t="s">
        <v>391</v>
      </c>
      <c r="F478" s="66">
        <v>0</v>
      </c>
      <c r="G478" s="66">
        <v>0</v>
      </c>
      <c r="H478" s="66">
        <v>1000</v>
      </c>
    </row>
    <row r="479" spans="1:8" ht="35.1" customHeight="1" x14ac:dyDescent="0.2">
      <c r="A479" s="9" t="s">
        <v>325</v>
      </c>
      <c r="B479" s="9" t="s">
        <v>230</v>
      </c>
      <c r="C479" s="9" t="s">
        <v>64</v>
      </c>
      <c r="D479" s="9" t="s">
        <v>289</v>
      </c>
      <c r="E479" s="19" t="s">
        <v>392</v>
      </c>
      <c r="F479" s="66">
        <v>0</v>
      </c>
      <c r="G479" s="66">
        <v>0</v>
      </c>
      <c r="H479" s="66">
        <v>1000</v>
      </c>
    </row>
    <row r="480" spans="1:8" ht="39.950000000000003" customHeight="1" x14ac:dyDescent="0.2">
      <c r="A480" s="9" t="s">
        <v>325</v>
      </c>
      <c r="B480" s="9" t="s">
        <v>230</v>
      </c>
      <c r="C480" s="9" t="s">
        <v>64</v>
      </c>
      <c r="D480" s="9" t="s">
        <v>289</v>
      </c>
      <c r="E480" s="19" t="s">
        <v>393</v>
      </c>
      <c r="F480" s="66">
        <v>0</v>
      </c>
      <c r="G480" s="66">
        <v>0</v>
      </c>
      <c r="H480" s="66">
        <v>1000</v>
      </c>
    </row>
    <row r="481" spans="1:8" ht="47.1" customHeight="1" x14ac:dyDescent="0.2">
      <c r="A481" s="9" t="s">
        <v>325</v>
      </c>
      <c r="B481" s="9" t="s">
        <v>230</v>
      </c>
      <c r="C481" s="9" t="s">
        <v>64</v>
      </c>
      <c r="D481" s="9" t="s">
        <v>289</v>
      </c>
      <c r="E481" s="19" t="s">
        <v>394</v>
      </c>
      <c r="F481" s="66">
        <v>0</v>
      </c>
      <c r="G481" s="66">
        <v>0</v>
      </c>
      <c r="H481" s="66">
        <f>3100-2100</f>
        <v>1000</v>
      </c>
    </row>
    <row r="482" spans="1:8" ht="66" customHeight="1" x14ac:dyDescent="0.2">
      <c r="A482" s="9" t="s">
        <v>395</v>
      </c>
      <c r="B482" s="9" t="s">
        <v>13</v>
      </c>
      <c r="C482" s="9"/>
      <c r="D482" s="9"/>
      <c r="E482" s="38" t="s">
        <v>396</v>
      </c>
      <c r="F482" s="66">
        <f>F483+F487</f>
        <v>18550</v>
      </c>
      <c r="G482" s="66">
        <f>G483+G487</f>
        <v>9500</v>
      </c>
      <c r="H482" s="66">
        <f>H483+H487</f>
        <v>9500</v>
      </c>
    </row>
    <row r="483" spans="1:8" ht="60" customHeight="1" x14ac:dyDescent="0.2">
      <c r="A483" s="9" t="s">
        <v>397</v>
      </c>
      <c r="B483" s="9" t="s">
        <v>13</v>
      </c>
      <c r="C483" s="9"/>
      <c r="D483" s="9"/>
      <c r="E483" s="10" t="s">
        <v>398</v>
      </c>
      <c r="F483" s="66">
        <f>F484</f>
        <v>14050</v>
      </c>
      <c r="G483" s="66">
        <f>G484</f>
        <v>5000</v>
      </c>
      <c r="H483" s="66">
        <f>H484</f>
        <v>5000</v>
      </c>
    </row>
    <row r="484" spans="1:8" ht="21.75" customHeight="1" x14ac:dyDescent="0.2">
      <c r="A484" s="14" t="s">
        <v>399</v>
      </c>
      <c r="B484" s="14" t="s">
        <v>13</v>
      </c>
      <c r="C484" s="14"/>
      <c r="D484" s="14"/>
      <c r="E484" s="12" t="s">
        <v>400</v>
      </c>
      <c r="F484" s="68">
        <f t="shared" ref="F484:H485" si="82">F485</f>
        <v>14050</v>
      </c>
      <c r="G484" s="68">
        <f t="shared" si="82"/>
        <v>5000</v>
      </c>
      <c r="H484" s="68">
        <f t="shared" si="82"/>
        <v>5000</v>
      </c>
    </row>
    <row r="485" spans="1:8" ht="36.75" customHeight="1" x14ac:dyDescent="0.2">
      <c r="A485" s="9" t="s">
        <v>399</v>
      </c>
      <c r="B485" s="9" t="s">
        <v>61</v>
      </c>
      <c r="C485" s="9"/>
      <c r="D485" s="9"/>
      <c r="E485" s="10" t="s">
        <v>62</v>
      </c>
      <c r="F485" s="66">
        <f t="shared" si="82"/>
        <v>14050</v>
      </c>
      <c r="G485" s="66">
        <f t="shared" si="82"/>
        <v>5000</v>
      </c>
      <c r="H485" s="66">
        <f t="shared" si="82"/>
        <v>5000</v>
      </c>
    </row>
    <row r="486" spans="1:8" ht="38.1" customHeight="1" x14ac:dyDescent="0.2">
      <c r="A486" s="9" t="s">
        <v>399</v>
      </c>
      <c r="B486" s="9" t="s">
        <v>63</v>
      </c>
      <c r="C486" s="9" t="s">
        <v>64</v>
      </c>
      <c r="D486" s="9" t="s">
        <v>401</v>
      </c>
      <c r="E486" s="10" t="s">
        <v>65</v>
      </c>
      <c r="F486" s="66">
        <f>18550-4500</f>
        <v>14050</v>
      </c>
      <c r="G486" s="66">
        <f>14000-9000</f>
        <v>5000</v>
      </c>
      <c r="H486" s="66">
        <f>14000-9000</f>
        <v>5000</v>
      </c>
    </row>
    <row r="487" spans="1:8" ht="51" customHeight="1" x14ac:dyDescent="0.2">
      <c r="A487" s="9" t="s">
        <v>402</v>
      </c>
      <c r="B487" s="9" t="s">
        <v>13</v>
      </c>
      <c r="C487" s="9"/>
      <c r="D487" s="39"/>
      <c r="E487" s="40" t="s">
        <v>403</v>
      </c>
      <c r="F487" s="66">
        <f t="shared" ref="F487:H489" si="83">F488</f>
        <v>4500</v>
      </c>
      <c r="G487" s="66">
        <f t="shared" si="83"/>
        <v>4500</v>
      </c>
      <c r="H487" s="66">
        <f t="shared" si="83"/>
        <v>4500</v>
      </c>
    </row>
    <row r="488" spans="1:8" ht="42.95" customHeight="1" x14ac:dyDescent="0.2">
      <c r="A488" s="9" t="s">
        <v>404</v>
      </c>
      <c r="B488" s="9" t="s">
        <v>13</v>
      </c>
      <c r="C488" s="9"/>
      <c r="D488" s="39"/>
      <c r="E488" s="40" t="s">
        <v>405</v>
      </c>
      <c r="F488" s="66">
        <f t="shared" si="83"/>
        <v>4500</v>
      </c>
      <c r="G488" s="66">
        <f t="shared" si="83"/>
        <v>4500</v>
      </c>
      <c r="H488" s="66">
        <f t="shared" si="83"/>
        <v>4500</v>
      </c>
    </row>
    <row r="489" spans="1:8" ht="35.1" customHeight="1" x14ac:dyDescent="0.2">
      <c r="A489" s="9" t="s">
        <v>404</v>
      </c>
      <c r="B489" s="9" t="s">
        <v>61</v>
      </c>
      <c r="C489" s="9"/>
      <c r="D489" s="39"/>
      <c r="E489" s="10" t="s">
        <v>62</v>
      </c>
      <c r="F489" s="66">
        <f t="shared" si="83"/>
        <v>4500</v>
      </c>
      <c r="G489" s="66">
        <f t="shared" si="83"/>
        <v>4500</v>
      </c>
      <c r="H489" s="66">
        <f t="shared" si="83"/>
        <v>4500</v>
      </c>
    </row>
    <row r="490" spans="1:8" ht="36.75" customHeight="1" x14ac:dyDescent="0.2">
      <c r="A490" s="9" t="s">
        <v>404</v>
      </c>
      <c r="B490" s="9" t="s">
        <v>63</v>
      </c>
      <c r="C490" s="9" t="s">
        <v>64</v>
      </c>
      <c r="D490" s="9" t="s">
        <v>401</v>
      </c>
      <c r="E490" s="10" t="s">
        <v>65</v>
      </c>
      <c r="F490" s="66">
        <v>4500</v>
      </c>
      <c r="G490" s="66">
        <v>4500</v>
      </c>
      <c r="H490" s="66">
        <v>4500</v>
      </c>
    </row>
    <row r="491" spans="1:8" ht="54" customHeight="1" x14ac:dyDescent="0.2">
      <c r="A491" s="9" t="s">
        <v>406</v>
      </c>
      <c r="B491" s="9" t="s">
        <v>13</v>
      </c>
      <c r="C491" s="9"/>
      <c r="D491" s="9"/>
      <c r="E491" s="11" t="s">
        <v>407</v>
      </c>
      <c r="F491" s="69">
        <f>F492+F521+F547</f>
        <v>61865.483999999997</v>
      </c>
      <c r="G491" s="69">
        <f>G492+G521+G547</f>
        <v>31908.9</v>
      </c>
      <c r="H491" s="69">
        <f>H492+H521+H547</f>
        <v>33498.9</v>
      </c>
    </row>
    <row r="492" spans="1:8" ht="26.1" customHeight="1" x14ac:dyDescent="0.2">
      <c r="A492" s="9" t="s">
        <v>408</v>
      </c>
      <c r="B492" s="9" t="s">
        <v>13</v>
      </c>
      <c r="C492" s="9"/>
      <c r="D492" s="9"/>
      <c r="E492" s="10" t="s">
        <v>409</v>
      </c>
      <c r="F492" s="69">
        <f>F493+F503+F507+F511</f>
        <v>7741.9840000000004</v>
      </c>
      <c r="G492" s="69">
        <f>G493+G503+G507+G511</f>
        <v>3044.4</v>
      </c>
      <c r="H492" s="69">
        <f>H493+H503+H507+H511</f>
        <v>3044.4</v>
      </c>
    </row>
    <row r="493" spans="1:8" ht="39" customHeight="1" x14ac:dyDescent="0.2">
      <c r="A493" s="9" t="s">
        <v>410</v>
      </c>
      <c r="B493" s="9" t="s">
        <v>13</v>
      </c>
      <c r="C493" s="9"/>
      <c r="D493" s="9"/>
      <c r="E493" s="12" t="s">
        <v>411</v>
      </c>
      <c r="F493" s="69">
        <f>F494+F497+F500</f>
        <v>6766.884</v>
      </c>
      <c r="G493" s="69">
        <f t="shared" ref="G493:H493" si="84">G494+G497+G500</f>
        <v>2484.4</v>
      </c>
      <c r="H493" s="69">
        <f t="shared" si="84"/>
        <v>2484.4</v>
      </c>
    </row>
    <row r="494" spans="1:8" ht="39.950000000000003" customHeight="1" x14ac:dyDescent="0.2">
      <c r="A494" s="9" t="s">
        <v>412</v>
      </c>
      <c r="B494" s="9" t="s">
        <v>13</v>
      </c>
      <c r="C494" s="9"/>
      <c r="D494" s="9"/>
      <c r="E494" s="10" t="s">
        <v>413</v>
      </c>
      <c r="F494" s="66">
        <f>F496</f>
        <v>2085.0840000000003</v>
      </c>
      <c r="G494" s="66">
        <f>G496</f>
        <v>2432</v>
      </c>
      <c r="H494" s="66">
        <f>H496</f>
        <v>2432</v>
      </c>
    </row>
    <row r="495" spans="1:8" ht="36" customHeight="1" x14ac:dyDescent="0.2">
      <c r="A495" s="9" t="s">
        <v>412</v>
      </c>
      <c r="B495" s="9" t="s">
        <v>61</v>
      </c>
      <c r="C495" s="9"/>
      <c r="D495" s="9"/>
      <c r="E495" s="10" t="s">
        <v>62</v>
      </c>
      <c r="F495" s="66">
        <f>F496</f>
        <v>2085.0840000000003</v>
      </c>
      <c r="G495" s="66">
        <f>G496</f>
        <v>2432</v>
      </c>
      <c r="H495" s="66">
        <f>H496</f>
        <v>2432</v>
      </c>
    </row>
    <row r="496" spans="1:8" ht="36.75" customHeight="1" x14ac:dyDescent="0.2">
      <c r="A496" s="9" t="s">
        <v>412</v>
      </c>
      <c r="B496" s="9" t="s">
        <v>63</v>
      </c>
      <c r="C496" s="9" t="s">
        <v>64</v>
      </c>
      <c r="D496" s="9" t="s">
        <v>414</v>
      </c>
      <c r="E496" s="10" t="s">
        <v>65</v>
      </c>
      <c r="F496" s="66">
        <f>4123.6-400-80-250+191.484-1500</f>
        <v>2085.0840000000003</v>
      </c>
      <c r="G496" s="66">
        <f>2000+432</f>
        <v>2432</v>
      </c>
      <c r="H496" s="66">
        <f>2000+432</f>
        <v>2432</v>
      </c>
    </row>
    <row r="497" spans="1:8" ht="36.75" customHeight="1" x14ac:dyDescent="0.2">
      <c r="A497" s="9" t="s">
        <v>415</v>
      </c>
      <c r="B497" s="9" t="s">
        <v>13</v>
      </c>
      <c r="C497" s="64"/>
      <c r="D497" s="64"/>
      <c r="E497" s="90" t="s">
        <v>857</v>
      </c>
      <c r="F497" s="77">
        <f t="shared" ref="F497:H498" si="85">F498</f>
        <v>4629.3999999999996</v>
      </c>
      <c r="G497" s="77">
        <f t="shared" si="85"/>
        <v>0</v>
      </c>
      <c r="H497" s="77">
        <f t="shared" si="85"/>
        <v>0</v>
      </c>
    </row>
    <row r="498" spans="1:8" ht="36.75" customHeight="1" x14ac:dyDescent="0.2">
      <c r="A498" s="9" t="s">
        <v>415</v>
      </c>
      <c r="B498" s="9" t="s">
        <v>61</v>
      </c>
      <c r="C498" s="64"/>
      <c r="D498" s="64"/>
      <c r="E498" s="80" t="s">
        <v>62</v>
      </c>
      <c r="F498" s="77">
        <f t="shared" si="85"/>
        <v>4629.3999999999996</v>
      </c>
      <c r="G498" s="77">
        <f t="shared" si="85"/>
        <v>0</v>
      </c>
      <c r="H498" s="77">
        <f t="shared" si="85"/>
        <v>0</v>
      </c>
    </row>
    <row r="499" spans="1:8" ht="36.75" customHeight="1" x14ac:dyDescent="0.2">
      <c r="A499" s="9" t="s">
        <v>415</v>
      </c>
      <c r="B499" s="9" t="s">
        <v>63</v>
      </c>
      <c r="C499" s="9" t="s">
        <v>64</v>
      </c>
      <c r="D499" s="9" t="s">
        <v>417</v>
      </c>
      <c r="E499" s="80" t="s">
        <v>65</v>
      </c>
      <c r="F499" s="77">
        <v>4629.3999999999996</v>
      </c>
      <c r="G499" s="77">
        <v>0</v>
      </c>
      <c r="H499" s="77">
        <v>0</v>
      </c>
    </row>
    <row r="500" spans="1:8" ht="36.75" customHeight="1" x14ac:dyDescent="0.2">
      <c r="A500" s="9" t="s">
        <v>415</v>
      </c>
      <c r="B500" s="9" t="s">
        <v>13</v>
      </c>
      <c r="C500" s="9"/>
      <c r="D500" s="9"/>
      <c r="E500" s="25" t="s">
        <v>416</v>
      </c>
      <c r="F500" s="66">
        <f t="shared" ref="F500:H501" si="86">F501</f>
        <v>52.4</v>
      </c>
      <c r="G500" s="66">
        <f t="shared" si="86"/>
        <v>52.4</v>
      </c>
      <c r="H500" s="66">
        <f t="shared" si="86"/>
        <v>52.4</v>
      </c>
    </row>
    <row r="501" spans="1:8" ht="36.75" customHeight="1" x14ac:dyDescent="0.2">
      <c r="A501" s="9" t="s">
        <v>415</v>
      </c>
      <c r="B501" s="9" t="s">
        <v>61</v>
      </c>
      <c r="C501" s="9"/>
      <c r="D501" s="9"/>
      <c r="E501" s="10" t="s">
        <v>62</v>
      </c>
      <c r="F501" s="66">
        <f t="shared" si="86"/>
        <v>52.4</v>
      </c>
      <c r="G501" s="66">
        <f t="shared" si="86"/>
        <v>52.4</v>
      </c>
      <c r="H501" s="66">
        <f t="shared" si="86"/>
        <v>52.4</v>
      </c>
    </row>
    <row r="502" spans="1:8" ht="36.75" customHeight="1" x14ac:dyDescent="0.2">
      <c r="A502" s="9" t="s">
        <v>415</v>
      </c>
      <c r="B502" s="9" t="s">
        <v>63</v>
      </c>
      <c r="C502" s="9" t="s">
        <v>64</v>
      </c>
      <c r="D502" s="9" t="s">
        <v>417</v>
      </c>
      <c r="E502" s="10" t="s">
        <v>65</v>
      </c>
      <c r="F502" s="66">
        <v>52.4</v>
      </c>
      <c r="G502" s="66">
        <v>52.4</v>
      </c>
      <c r="H502" s="66">
        <v>52.4</v>
      </c>
    </row>
    <row r="503" spans="1:8" ht="36" customHeight="1" x14ac:dyDescent="0.2">
      <c r="A503" s="9" t="s">
        <v>418</v>
      </c>
      <c r="B503" s="9" t="s">
        <v>13</v>
      </c>
      <c r="C503" s="9"/>
      <c r="D503" s="9"/>
      <c r="E503" s="12" t="s">
        <v>419</v>
      </c>
      <c r="F503" s="66">
        <f>F504</f>
        <v>255</v>
      </c>
      <c r="G503" s="66">
        <f>G504</f>
        <v>60</v>
      </c>
      <c r="H503" s="66">
        <f>H504</f>
        <v>60</v>
      </c>
    </row>
    <row r="504" spans="1:8" ht="37.5" customHeight="1" x14ac:dyDescent="0.2">
      <c r="A504" s="9" t="s">
        <v>420</v>
      </c>
      <c r="B504" s="9" t="s">
        <v>13</v>
      </c>
      <c r="C504" s="9"/>
      <c r="D504" s="9"/>
      <c r="E504" s="10" t="s">
        <v>419</v>
      </c>
      <c r="F504" s="66">
        <f>F506</f>
        <v>255</v>
      </c>
      <c r="G504" s="66">
        <f>G506</f>
        <v>60</v>
      </c>
      <c r="H504" s="66">
        <f>H506</f>
        <v>60</v>
      </c>
    </row>
    <row r="505" spans="1:8" ht="34.5" customHeight="1" x14ac:dyDescent="0.2">
      <c r="A505" s="9" t="s">
        <v>420</v>
      </c>
      <c r="B505" s="9" t="s">
        <v>61</v>
      </c>
      <c r="C505" s="9"/>
      <c r="D505" s="9"/>
      <c r="E505" s="10" t="s">
        <v>62</v>
      </c>
      <c r="F505" s="66">
        <f>F506</f>
        <v>255</v>
      </c>
      <c r="G505" s="66">
        <f>G506</f>
        <v>60</v>
      </c>
      <c r="H505" s="66">
        <f>H506</f>
        <v>60</v>
      </c>
    </row>
    <row r="506" spans="1:8" ht="39.75" customHeight="1" x14ac:dyDescent="0.2">
      <c r="A506" s="9" t="s">
        <v>420</v>
      </c>
      <c r="B506" s="9" t="s">
        <v>63</v>
      </c>
      <c r="C506" s="9" t="s">
        <v>64</v>
      </c>
      <c r="D506" s="9" t="s">
        <v>414</v>
      </c>
      <c r="E506" s="10" t="s">
        <v>65</v>
      </c>
      <c r="F506" s="66">
        <f>60+35+160</f>
        <v>255</v>
      </c>
      <c r="G506" s="66">
        <v>60</v>
      </c>
      <c r="H506" s="66">
        <v>60</v>
      </c>
    </row>
    <row r="507" spans="1:8" ht="42.95" customHeight="1" x14ac:dyDescent="0.2">
      <c r="A507" s="9" t="s">
        <v>421</v>
      </c>
      <c r="B507" s="9" t="s">
        <v>13</v>
      </c>
      <c r="C507" s="9"/>
      <c r="D507" s="9"/>
      <c r="E507" s="41" t="s">
        <v>422</v>
      </c>
      <c r="F507" s="66">
        <f t="shared" ref="F507:F513" si="87">F508</f>
        <v>0.10000000000002274</v>
      </c>
      <c r="G507" s="66">
        <f t="shared" ref="G507:G513" si="88">G508</f>
        <v>500</v>
      </c>
      <c r="H507" s="66">
        <f t="shared" ref="H507:H513" si="89">H508</f>
        <v>500</v>
      </c>
    </row>
    <row r="508" spans="1:8" ht="27.75" customHeight="1" x14ac:dyDescent="0.2">
      <c r="A508" s="9" t="s">
        <v>423</v>
      </c>
      <c r="B508" s="9" t="s">
        <v>13</v>
      </c>
      <c r="C508" s="9"/>
      <c r="D508" s="9"/>
      <c r="E508" s="25" t="s">
        <v>424</v>
      </c>
      <c r="F508" s="69">
        <f>F510</f>
        <v>0.10000000000002274</v>
      </c>
      <c r="G508" s="69">
        <f>G510</f>
        <v>500</v>
      </c>
      <c r="H508" s="69">
        <f>H510</f>
        <v>500</v>
      </c>
    </row>
    <row r="509" spans="1:8" ht="34.5" customHeight="1" x14ac:dyDescent="0.2">
      <c r="A509" s="9" t="s">
        <v>423</v>
      </c>
      <c r="B509" s="9" t="s">
        <v>61</v>
      </c>
      <c r="C509" s="9"/>
      <c r="D509" s="9"/>
      <c r="E509" s="10" t="s">
        <v>62</v>
      </c>
      <c r="F509" s="69">
        <f t="shared" si="87"/>
        <v>0.10000000000002274</v>
      </c>
      <c r="G509" s="69">
        <f t="shared" si="88"/>
        <v>500</v>
      </c>
      <c r="H509" s="69">
        <f t="shared" si="89"/>
        <v>500</v>
      </c>
    </row>
    <row r="510" spans="1:8" ht="38.25" customHeight="1" x14ac:dyDescent="0.2">
      <c r="A510" s="9" t="s">
        <v>423</v>
      </c>
      <c r="B510" s="9" t="s">
        <v>63</v>
      </c>
      <c r="C510" s="9" t="s">
        <v>64</v>
      </c>
      <c r="D510" s="9" t="s">
        <v>414</v>
      </c>
      <c r="E510" s="10" t="s">
        <v>65</v>
      </c>
      <c r="F510" s="69">
        <f>513.1-150-363</f>
        <v>0.10000000000002274</v>
      </c>
      <c r="G510" s="69">
        <v>500</v>
      </c>
      <c r="H510" s="69">
        <v>500</v>
      </c>
    </row>
    <row r="511" spans="1:8" ht="38.25" customHeight="1" x14ac:dyDescent="0.2">
      <c r="A511" s="15" t="s">
        <v>425</v>
      </c>
      <c r="B511" s="15" t="s">
        <v>13</v>
      </c>
      <c r="C511" s="9"/>
      <c r="D511" s="9"/>
      <c r="E511" s="22" t="s">
        <v>426</v>
      </c>
      <c r="F511" s="69">
        <f>F512+F515+F518</f>
        <v>720</v>
      </c>
      <c r="G511" s="69">
        <f t="shared" si="88"/>
        <v>0</v>
      </c>
      <c r="H511" s="69">
        <f t="shared" si="89"/>
        <v>0</v>
      </c>
    </row>
    <row r="512" spans="1:8" ht="29.1" customHeight="1" x14ac:dyDescent="0.2">
      <c r="A512" s="15" t="s">
        <v>427</v>
      </c>
      <c r="B512" s="15" t="s">
        <v>13</v>
      </c>
      <c r="C512" s="9"/>
      <c r="D512" s="9"/>
      <c r="E512" s="22" t="s">
        <v>428</v>
      </c>
      <c r="F512" s="69">
        <f t="shared" si="87"/>
        <v>70</v>
      </c>
      <c r="G512" s="69">
        <f t="shared" si="88"/>
        <v>0</v>
      </c>
      <c r="H512" s="69">
        <f t="shared" si="89"/>
        <v>0</v>
      </c>
    </row>
    <row r="513" spans="1:8" ht="38.25" customHeight="1" x14ac:dyDescent="0.2">
      <c r="A513" s="15" t="s">
        <v>427</v>
      </c>
      <c r="B513" s="15" t="s">
        <v>61</v>
      </c>
      <c r="C513" s="9"/>
      <c r="D513" s="9"/>
      <c r="E513" s="22" t="s">
        <v>62</v>
      </c>
      <c r="F513" s="69">
        <f t="shared" si="87"/>
        <v>70</v>
      </c>
      <c r="G513" s="69">
        <f t="shared" si="88"/>
        <v>0</v>
      </c>
      <c r="H513" s="69">
        <f t="shared" si="89"/>
        <v>0</v>
      </c>
    </row>
    <row r="514" spans="1:8" ht="38.25" customHeight="1" x14ac:dyDescent="0.2">
      <c r="A514" s="15" t="s">
        <v>427</v>
      </c>
      <c r="B514" s="15" t="s">
        <v>63</v>
      </c>
      <c r="C514" s="9" t="s">
        <v>64</v>
      </c>
      <c r="D514" s="9" t="s">
        <v>414</v>
      </c>
      <c r="E514" s="22" t="s">
        <v>65</v>
      </c>
      <c r="F514" s="69">
        <f>80+150-160</f>
        <v>70</v>
      </c>
      <c r="G514" s="69">
        <v>0</v>
      </c>
      <c r="H514" s="69">
        <v>0</v>
      </c>
    </row>
    <row r="515" spans="1:8" ht="51" customHeight="1" x14ac:dyDescent="0.2">
      <c r="A515" s="15" t="s">
        <v>429</v>
      </c>
      <c r="B515" s="15" t="s">
        <v>13</v>
      </c>
      <c r="C515" s="9"/>
      <c r="D515" s="9"/>
      <c r="E515" s="22" t="s">
        <v>430</v>
      </c>
      <c r="F515" s="69">
        <f t="shared" ref="F515:H516" si="90">F516</f>
        <v>400</v>
      </c>
      <c r="G515" s="69">
        <f t="shared" si="90"/>
        <v>0</v>
      </c>
      <c r="H515" s="69">
        <f t="shared" si="90"/>
        <v>0</v>
      </c>
    </row>
    <row r="516" spans="1:8" ht="38.25" customHeight="1" x14ac:dyDescent="0.2">
      <c r="A516" s="15" t="s">
        <v>429</v>
      </c>
      <c r="B516" s="15" t="s">
        <v>61</v>
      </c>
      <c r="C516" s="9"/>
      <c r="D516" s="9"/>
      <c r="E516" s="22" t="s">
        <v>62</v>
      </c>
      <c r="F516" s="69">
        <f t="shared" si="90"/>
        <v>400</v>
      </c>
      <c r="G516" s="69">
        <f t="shared" si="90"/>
        <v>0</v>
      </c>
      <c r="H516" s="69">
        <f t="shared" si="90"/>
        <v>0</v>
      </c>
    </row>
    <row r="517" spans="1:8" ht="38.25" customHeight="1" x14ac:dyDescent="0.2">
      <c r="A517" s="15" t="s">
        <v>429</v>
      </c>
      <c r="B517" s="15" t="s">
        <v>63</v>
      </c>
      <c r="C517" s="9" t="s">
        <v>64</v>
      </c>
      <c r="D517" s="9" t="s">
        <v>414</v>
      </c>
      <c r="E517" s="22" t="s">
        <v>65</v>
      </c>
      <c r="F517" s="69">
        <v>400</v>
      </c>
      <c r="G517" s="69">
        <v>0</v>
      </c>
      <c r="H517" s="69">
        <v>0</v>
      </c>
    </row>
    <row r="518" spans="1:8" ht="30" customHeight="1" x14ac:dyDescent="0.2">
      <c r="A518" s="15" t="s">
        <v>431</v>
      </c>
      <c r="B518" s="15" t="s">
        <v>13</v>
      </c>
      <c r="C518" s="9"/>
      <c r="D518" s="9"/>
      <c r="E518" s="22" t="s">
        <v>432</v>
      </c>
      <c r="F518" s="69">
        <f t="shared" ref="F518:H519" si="91">F519</f>
        <v>250</v>
      </c>
      <c r="G518" s="69">
        <f t="shared" si="91"/>
        <v>0</v>
      </c>
      <c r="H518" s="69">
        <f t="shared" si="91"/>
        <v>0</v>
      </c>
    </row>
    <row r="519" spans="1:8" ht="38.25" customHeight="1" x14ac:dyDescent="0.2">
      <c r="A519" s="15" t="s">
        <v>431</v>
      </c>
      <c r="B519" s="15" t="s">
        <v>61</v>
      </c>
      <c r="C519" s="9"/>
      <c r="D519" s="9"/>
      <c r="E519" s="22" t="s">
        <v>62</v>
      </c>
      <c r="F519" s="69">
        <f t="shared" si="91"/>
        <v>250</v>
      </c>
      <c r="G519" s="69">
        <f t="shared" si="91"/>
        <v>0</v>
      </c>
      <c r="H519" s="69">
        <f t="shared" si="91"/>
        <v>0</v>
      </c>
    </row>
    <row r="520" spans="1:8" ht="38.25" customHeight="1" x14ac:dyDescent="0.2">
      <c r="A520" s="15" t="s">
        <v>431</v>
      </c>
      <c r="B520" s="15" t="s">
        <v>63</v>
      </c>
      <c r="C520" s="9" t="s">
        <v>64</v>
      </c>
      <c r="D520" s="9" t="s">
        <v>414</v>
      </c>
      <c r="E520" s="22" t="s">
        <v>65</v>
      </c>
      <c r="F520" s="69">
        <v>250</v>
      </c>
      <c r="G520" s="69">
        <v>0</v>
      </c>
      <c r="H520" s="69">
        <v>0</v>
      </c>
    </row>
    <row r="521" spans="1:8" ht="30" customHeight="1" x14ac:dyDescent="0.2">
      <c r="A521" s="9" t="s">
        <v>433</v>
      </c>
      <c r="B521" s="9" t="s">
        <v>13</v>
      </c>
      <c r="C521" s="9"/>
      <c r="D521" s="9"/>
      <c r="E521" s="10" t="s">
        <v>434</v>
      </c>
      <c r="F521" s="66">
        <f>F522+F526+F530+F536+F543</f>
        <v>26507</v>
      </c>
      <c r="G521" s="66">
        <f>G522+G526+G530+G536+G543</f>
        <v>24048</v>
      </c>
      <c r="H521" s="66">
        <f>H522+H526+H530+H536+H543</f>
        <v>24048</v>
      </c>
    </row>
    <row r="522" spans="1:8" ht="48" customHeight="1" x14ac:dyDescent="0.2">
      <c r="A522" s="9" t="s">
        <v>435</v>
      </c>
      <c r="B522" s="9" t="s">
        <v>13</v>
      </c>
      <c r="C522" s="9"/>
      <c r="D522" s="9"/>
      <c r="E522" s="12" t="s">
        <v>436</v>
      </c>
      <c r="F522" s="66">
        <f>F523</f>
        <v>1679.91687</v>
      </c>
      <c r="G522" s="66">
        <f>G523</f>
        <v>1000</v>
      </c>
      <c r="H522" s="66">
        <f>H523</f>
        <v>1000</v>
      </c>
    </row>
    <row r="523" spans="1:8" ht="33.75" customHeight="1" x14ac:dyDescent="0.2">
      <c r="A523" s="9" t="s">
        <v>437</v>
      </c>
      <c r="B523" s="9" t="s">
        <v>13</v>
      </c>
      <c r="C523" s="9"/>
      <c r="D523" s="9"/>
      <c r="E523" s="10" t="s">
        <v>438</v>
      </c>
      <c r="F523" s="66">
        <f t="shared" ref="F523:H524" si="92">F524</f>
        <v>1679.91687</v>
      </c>
      <c r="G523" s="66">
        <f t="shared" si="92"/>
        <v>1000</v>
      </c>
      <c r="H523" s="66">
        <f t="shared" si="92"/>
        <v>1000</v>
      </c>
    </row>
    <row r="524" spans="1:8" ht="33.75" customHeight="1" x14ac:dyDescent="0.2">
      <c r="A524" s="9" t="s">
        <v>437</v>
      </c>
      <c r="B524" s="9" t="s">
        <v>61</v>
      </c>
      <c r="C524" s="9"/>
      <c r="D524" s="9"/>
      <c r="E524" s="10" t="s">
        <v>62</v>
      </c>
      <c r="F524" s="66">
        <f t="shared" si="92"/>
        <v>1679.91687</v>
      </c>
      <c r="G524" s="66">
        <f t="shared" si="92"/>
        <v>1000</v>
      </c>
      <c r="H524" s="66">
        <f t="shared" si="92"/>
        <v>1000</v>
      </c>
    </row>
    <row r="525" spans="1:8" ht="33.75" customHeight="1" x14ac:dyDescent="0.2">
      <c r="A525" s="9" t="s">
        <v>437</v>
      </c>
      <c r="B525" s="9" t="s">
        <v>63</v>
      </c>
      <c r="C525" s="9" t="s">
        <v>64</v>
      </c>
      <c r="D525" s="9" t="s">
        <v>439</v>
      </c>
      <c r="E525" s="10" t="s">
        <v>65</v>
      </c>
      <c r="F525" s="66">
        <f>1960-280.08313</f>
        <v>1679.91687</v>
      </c>
      <c r="G525" s="66">
        <v>1000</v>
      </c>
      <c r="H525" s="66">
        <v>1000</v>
      </c>
    </row>
    <row r="526" spans="1:8" ht="33.75" customHeight="1" x14ac:dyDescent="0.2">
      <c r="A526" s="9" t="s">
        <v>440</v>
      </c>
      <c r="B526" s="9" t="s">
        <v>13</v>
      </c>
      <c r="C526" s="9"/>
      <c r="D526" s="9"/>
      <c r="E526" s="12" t="s">
        <v>441</v>
      </c>
      <c r="F526" s="66">
        <f>F527</f>
        <v>799</v>
      </c>
      <c r="G526" s="66">
        <f t="shared" ref="G526:G532" si="93">G527</f>
        <v>930</v>
      </c>
      <c r="H526" s="66">
        <f t="shared" ref="H526:H532" si="94">H527</f>
        <v>930</v>
      </c>
    </row>
    <row r="527" spans="1:8" ht="33" customHeight="1" x14ac:dyDescent="0.2">
      <c r="A527" s="9" t="s">
        <v>442</v>
      </c>
      <c r="B527" s="9" t="s">
        <v>13</v>
      </c>
      <c r="C527" s="9"/>
      <c r="D527" s="9"/>
      <c r="E527" s="25" t="s">
        <v>443</v>
      </c>
      <c r="F527" s="66">
        <f t="shared" ref="F527:H528" si="95">F528</f>
        <v>799</v>
      </c>
      <c r="G527" s="66">
        <f t="shared" si="95"/>
        <v>930</v>
      </c>
      <c r="H527" s="66">
        <f t="shared" si="95"/>
        <v>930</v>
      </c>
    </row>
    <row r="528" spans="1:8" ht="36.75" customHeight="1" x14ac:dyDescent="0.2">
      <c r="A528" s="9" t="s">
        <v>442</v>
      </c>
      <c r="B528" s="9" t="s">
        <v>61</v>
      </c>
      <c r="C528" s="9"/>
      <c r="D528" s="9"/>
      <c r="E528" s="10" t="s">
        <v>62</v>
      </c>
      <c r="F528" s="66">
        <f t="shared" si="95"/>
        <v>799</v>
      </c>
      <c r="G528" s="66">
        <f t="shared" si="95"/>
        <v>930</v>
      </c>
      <c r="H528" s="66">
        <f t="shared" si="95"/>
        <v>930</v>
      </c>
    </row>
    <row r="529" spans="1:8" ht="37.5" customHeight="1" x14ac:dyDescent="0.2">
      <c r="A529" s="9" t="s">
        <v>442</v>
      </c>
      <c r="B529" s="9" t="s">
        <v>63</v>
      </c>
      <c r="C529" s="9" t="s">
        <v>64</v>
      </c>
      <c r="D529" s="9" t="s">
        <v>439</v>
      </c>
      <c r="E529" s="10" t="s">
        <v>65</v>
      </c>
      <c r="F529" s="77">
        <f>929-30-100</f>
        <v>799</v>
      </c>
      <c r="G529" s="66">
        <v>930</v>
      </c>
      <c r="H529" s="66">
        <v>930</v>
      </c>
    </row>
    <row r="530" spans="1:8" ht="35.1" customHeight="1" x14ac:dyDescent="0.2">
      <c r="A530" s="9" t="s">
        <v>444</v>
      </c>
      <c r="B530" s="9" t="s">
        <v>13</v>
      </c>
      <c r="C530" s="9"/>
      <c r="D530" s="9"/>
      <c r="E530" s="12" t="s">
        <v>445</v>
      </c>
      <c r="F530" s="66">
        <f>F531</f>
        <v>2438.08313</v>
      </c>
      <c r="G530" s="66">
        <f t="shared" si="93"/>
        <v>508</v>
      </c>
      <c r="H530" s="66">
        <f t="shared" si="94"/>
        <v>508</v>
      </c>
    </row>
    <row r="531" spans="1:8" ht="27" customHeight="1" x14ac:dyDescent="0.2">
      <c r="A531" s="15" t="s">
        <v>446</v>
      </c>
      <c r="B531" s="15" t="s">
        <v>13</v>
      </c>
      <c r="C531" s="9"/>
      <c r="D531" s="9"/>
      <c r="E531" s="22" t="s">
        <v>447</v>
      </c>
      <c r="F531" s="66">
        <f>F532+F534</f>
        <v>2438.08313</v>
      </c>
      <c r="G531" s="66">
        <f t="shared" si="93"/>
        <v>508</v>
      </c>
      <c r="H531" s="66">
        <f t="shared" si="94"/>
        <v>508</v>
      </c>
    </row>
    <row r="532" spans="1:8" ht="35.25" customHeight="1" x14ac:dyDescent="0.2">
      <c r="A532" s="15" t="s">
        <v>446</v>
      </c>
      <c r="B532" s="15" t="s">
        <v>61</v>
      </c>
      <c r="C532" s="9"/>
      <c r="D532" s="9"/>
      <c r="E532" s="22" t="s">
        <v>62</v>
      </c>
      <c r="F532" s="66">
        <f>F533</f>
        <v>2040.9442800000002</v>
      </c>
      <c r="G532" s="66">
        <f t="shared" si="93"/>
        <v>508</v>
      </c>
      <c r="H532" s="66">
        <f t="shared" si="94"/>
        <v>508</v>
      </c>
    </row>
    <row r="533" spans="1:8" ht="35.1" customHeight="1" x14ac:dyDescent="0.2">
      <c r="A533" s="15" t="s">
        <v>446</v>
      </c>
      <c r="B533" s="15" t="s">
        <v>63</v>
      </c>
      <c r="C533" s="9" t="s">
        <v>64</v>
      </c>
      <c r="D533" s="9" t="s">
        <v>439</v>
      </c>
      <c r="E533" s="22" t="s">
        <v>65</v>
      </c>
      <c r="F533" s="77">
        <f>508-1.425+1150-115.63072+500</f>
        <v>2040.9442800000002</v>
      </c>
      <c r="G533" s="66">
        <v>508</v>
      </c>
      <c r="H533" s="66">
        <v>508</v>
      </c>
    </row>
    <row r="534" spans="1:8" ht="24.95" customHeight="1" x14ac:dyDescent="0.2">
      <c r="A534" s="15" t="s">
        <v>446</v>
      </c>
      <c r="B534" s="15" t="s">
        <v>448</v>
      </c>
      <c r="C534" s="9"/>
      <c r="D534" s="9"/>
      <c r="E534" s="22" t="s">
        <v>449</v>
      </c>
      <c r="F534" s="66">
        <f>F535</f>
        <v>397.13884999999999</v>
      </c>
      <c r="G534" s="66">
        <f>G535</f>
        <v>0</v>
      </c>
      <c r="H534" s="66">
        <f>H535</f>
        <v>0</v>
      </c>
    </row>
    <row r="535" spans="1:8" ht="24.95" customHeight="1" x14ac:dyDescent="0.2">
      <c r="A535" s="15" t="s">
        <v>446</v>
      </c>
      <c r="B535" s="15" t="s">
        <v>450</v>
      </c>
      <c r="C535" s="9" t="s">
        <v>64</v>
      </c>
      <c r="D535" s="9" t="s">
        <v>439</v>
      </c>
      <c r="E535" s="22" t="s">
        <v>451</v>
      </c>
      <c r="F535" s="77">
        <f>0.975+0.45+280.08313+115.63072</f>
        <v>397.13884999999999</v>
      </c>
      <c r="G535" s="66">
        <v>0</v>
      </c>
      <c r="H535" s="66">
        <v>0</v>
      </c>
    </row>
    <row r="536" spans="1:8" ht="33" customHeight="1" x14ac:dyDescent="0.2">
      <c r="A536" s="9" t="s">
        <v>452</v>
      </c>
      <c r="B536" s="9" t="s">
        <v>13</v>
      </c>
      <c r="C536" s="9"/>
      <c r="D536" s="9"/>
      <c r="E536" s="12" t="s">
        <v>453</v>
      </c>
      <c r="F536" s="66">
        <f>F537+F540</f>
        <v>590</v>
      </c>
      <c r="G536" s="66">
        <f>G537+G540</f>
        <v>1610</v>
      </c>
      <c r="H536" s="66">
        <f>H537+H540</f>
        <v>1610</v>
      </c>
    </row>
    <row r="537" spans="1:8" ht="36" customHeight="1" x14ac:dyDescent="0.2">
      <c r="A537" s="9" t="s">
        <v>454</v>
      </c>
      <c r="B537" s="9" t="s">
        <v>13</v>
      </c>
      <c r="C537" s="9"/>
      <c r="D537" s="9"/>
      <c r="E537" s="10" t="s">
        <v>455</v>
      </c>
      <c r="F537" s="66">
        <f t="shared" ref="F537:H538" si="96">F538</f>
        <v>210</v>
      </c>
      <c r="G537" s="66">
        <f t="shared" si="96"/>
        <v>110</v>
      </c>
      <c r="H537" s="66">
        <f t="shared" si="96"/>
        <v>110</v>
      </c>
    </row>
    <row r="538" spans="1:8" ht="36" customHeight="1" x14ac:dyDescent="0.2">
      <c r="A538" s="9" t="s">
        <v>454</v>
      </c>
      <c r="B538" s="9" t="s">
        <v>61</v>
      </c>
      <c r="C538" s="9"/>
      <c r="D538" s="9"/>
      <c r="E538" s="10" t="s">
        <v>62</v>
      </c>
      <c r="F538" s="66">
        <f t="shared" si="96"/>
        <v>210</v>
      </c>
      <c r="G538" s="66">
        <f t="shared" si="96"/>
        <v>110</v>
      </c>
      <c r="H538" s="66">
        <f t="shared" si="96"/>
        <v>110</v>
      </c>
    </row>
    <row r="539" spans="1:8" ht="33" customHeight="1" x14ac:dyDescent="0.2">
      <c r="A539" s="9" t="s">
        <v>454</v>
      </c>
      <c r="B539" s="9" t="s">
        <v>63</v>
      </c>
      <c r="C539" s="9" t="s">
        <v>64</v>
      </c>
      <c r="D539" s="9" t="s">
        <v>439</v>
      </c>
      <c r="E539" s="10" t="s">
        <v>65</v>
      </c>
      <c r="F539" s="77">
        <f>110+100</f>
        <v>210</v>
      </c>
      <c r="G539" s="66">
        <v>110</v>
      </c>
      <c r="H539" s="66">
        <v>110</v>
      </c>
    </row>
    <row r="540" spans="1:8" ht="33" customHeight="1" x14ac:dyDescent="0.2">
      <c r="A540" s="9" t="s">
        <v>456</v>
      </c>
      <c r="B540" s="9" t="s">
        <v>13</v>
      </c>
      <c r="C540" s="9"/>
      <c r="D540" s="9"/>
      <c r="E540" s="10" t="s">
        <v>457</v>
      </c>
      <c r="F540" s="66">
        <f t="shared" ref="F540:H541" si="97">F541</f>
        <v>380</v>
      </c>
      <c r="G540" s="66">
        <f t="shared" si="97"/>
        <v>1500</v>
      </c>
      <c r="H540" s="66">
        <f t="shared" si="97"/>
        <v>1500</v>
      </c>
    </row>
    <row r="541" spans="1:8" ht="35.1" customHeight="1" x14ac:dyDescent="0.2">
      <c r="A541" s="9" t="s">
        <v>456</v>
      </c>
      <c r="B541" s="9" t="s">
        <v>61</v>
      </c>
      <c r="C541" s="9"/>
      <c r="D541" s="9"/>
      <c r="E541" s="10" t="s">
        <v>62</v>
      </c>
      <c r="F541" s="66">
        <f t="shared" si="97"/>
        <v>380</v>
      </c>
      <c r="G541" s="66">
        <f t="shared" si="97"/>
        <v>1500</v>
      </c>
      <c r="H541" s="66">
        <f t="shared" si="97"/>
        <v>1500</v>
      </c>
    </row>
    <row r="542" spans="1:8" ht="36" customHeight="1" x14ac:dyDescent="0.2">
      <c r="A542" s="9" t="s">
        <v>456</v>
      </c>
      <c r="B542" s="9" t="s">
        <v>63</v>
      </c>
      <c r="C542" s="9" t="s">
        <v>64</v>
      </c>
      <c r="D542" s="9" t="s">
        <v>439</v>
      </c>
      <c r="E542" s="10" t="s">
        <v>65</v>
      </c>
      <c r="F542" s="77">
        <f>1667-787-500</f>
        <v>380</v>
      </c>
      <c r="G542" s="66">
        <f>1667-167</f>
        <v>1500</v>
      </c>
      <c r="H542" s="66">
        <v>1500</v>
      </c>
    </row>
    <row r="543" spans="1:8" ht="41.25" customHeight="1" x14ac:dyDescent="0.2">
      <c r="A543" s="9" t="s">
        <v>458</v>
      </c>
      <c r="B543" s="9" t="s">
        <v>13</v>
      </c>
      <c r="C543" s="9"/>
      <c r="D543" s="9"/>
      <c r="E543" s="12" t="s">
        <v>459</v>
      </c>
      <c r="F543" s="66">
        <f>F544</f>
        <v>21000</v>
      </c>
      <c r="G543" s="66">
        <f>G544</f>
        <v>20000</v>
      </c>
      <c r="H543" s="66">
        <f>H544</f>
        <v>20000</v>
      </c>
    </row>
    <row r="544" spans="1:8" ht="84" customHeight="1" x14ac:dyDescent="0.2">
      <c r="A544" s="9" t="s">
        <v>460</v>
      </c>
      <c r="B544" s="9" t="s">
        <v>13</v>
      </c>
      <c r="C544" s="9"/>
      <c r="D544" s="9"/>
      <c r="E544" s="12" t="s">
        <v>461</v>
      </c>
      <c r="F544" s="66">
        <f t="shared" ref="F544:H545" si="98">F545</f>
        <v>21000</v>
      </c>
      <c r="G544" s="66">
        <f t="shared" si="98"/>
        <v>20000</v>
      </c>
      <c r="H544" s="66">
        <f t="shared" si="98"/>
        <v>20000</v>
      </c>
    </row>
    <row r="545" spans="1:8" ht="22.5" customHeight="1" x14ac:dyDescent="0.2">
      <c r="A545" s="9" t="s">
        <v>460</v>
      </c>
      <c r="B545" s="9" t="s">
        <v>448</v>
      </c>
      <c r="C545" s="9"/>
      <c r="D545" s="9"/>
      <c r="E545" s="12" t="s">
        <v>449</v>
      </c>
      <c r="F545" s="66">
        <f t="shared" si="98"/>
        <v>21000</v>
      </c>
      <c r="G545" s="66">
        <f t="shared" si="98"/>
        <v>20000</v>
      </c>
      <c r="H545" s="66">
        <f t="shared" si="98"/>
        <v>20000</v>
      </c>
    </row>
    <row r="546" spans="1:8" ht="51" customHeight="1" x14ac:dyDescent="0.2">
      <c r="A546" s="9" t="s">
        <v>460</v>
      </c>
      <c r="B546" s="9" t="s">
        <v>462</v>
      </c>
      <c r="C546" s="9" t="s">
        <v>64</v>
      </c>
      <c r="D546" s="9" t="s">
        <v>463</v>
      </c>
      <c r="E546" s="10" t="s">
        <v>464</v>
      </c>
      <c r="F546" s="66">
        <f>20000+1000</f>
        <v>21000</v>
      </c>
      <c r="G546" s="66">
        <v>20000</v>
      </c>
      <c r="H546" s="66">
        <v>20000</v>
      </c>
    </row>
    <row r="547" spans="1:8" ht="36.950000000000003" customHeight="1" x14ac:dyDescent="0.2">
      <c r="A547" s="9" t="s">
        <v>465</v>
      </c>
      <c r="B547" s="9" t="s">
        <v>13</v>
      </c>
      <c r="C547" s="9"/>
      <c r="D547" s="9"/>
      <c r="E547" s="10" t="s">
        <v>466</v>
      </c>
      <c r="F547" s="66">
        <f>F548+F555</f>
        <v>27616.5</v>
      </c>
      <c r="G547" s="66">
        <f>G548+G555</f>
        <v>4816.5</v>
      </c>
      <c r="H547" s="66">
        <f>H548+H555</f>
        <v>6406.5</v>
      </c>
    </row>
    <row r="548" spans="1:8" ht="36.950000000000003" customHeight="1" x14ac:dyDescent="0.2">
      <c r="A548" s="9" t="s">
        <v>467</v>
      </c>
      <c r="B548" s="9"/>
      <c r="C548" s="9"/>
      <c r="D548" s="9"/>
      <c r="E548" s="16" t="s">
        <v>468</v>
      </c>
      <c r="F548" s="66">
        <f>F549+F552</f>
        <v>17816.5</v>
      </c>
      <c r="G548" s="66">
        <f>G549+G552</f>
        <v>4816.5</v>
      </c>
      <c r="H548" s="66">
        <f>H549+H552</f>
        <v>6406.5</v>
      </c>
    </row>
    <row r="549" spans="1:8" ht="65.099999999999994" customHeight="1" x14ac:dyDescent="0.2">
      <c r="A549" s="9" t="s">
        <v>469</v>
      </c>
      <c r="B549" s="9" t="s">
        <v>13</v>
      </c>
      <c r="C549" s="9"/>
      <c r="D549" s="9"/>
      <c r="E549" s="10" t="s">
        <v>470</v>
      </c>
      <c r="F549" s="66">
        <f>F551</f>
        <v>2716.5</v>
      </c>
      <c r="G549" s="66">
        <f>G551</f>
        <v>2716.5</v>
      </c>
      <c r="H549" s="66">
        <f>H551</f>
        <v>2716.5</v>
      </c>
    </row>
    <row r="550" spans="1:8" ht="36.950000000000003" customHeight="1" x14ac:dyDescent="0.2">
      <c r="A550" s="9" t="s">
        <v>469</v>
      </c>
      <c r="B550" s="9" t="s">
        <v>61</v>
      </c>
      <c r="C550" s="9"/>
      <c r="D550" s="9"/>
      <c r="E550" s="10" t="s">
        <v>62</v>
      </c>
      <c r="F550" s="66">
        <f>F551</f>
        <v>2716.5</v>
      </c>
      <c r="G550" s="66">
        <f>G551</f>
        <v>2716.5</v>
      </c>
      <c r="H550" s="66">
        <f>H551</f>
        <v>2716.5</v>
      </c>
    </row>
    <row r="551" spans="1:8" ht="36.950000000000003" customHeight="1" x14ac:dyDescent="0.2">
      <c r="A551" s="9" t="s">
        <v>469</v>
      </c>
      <c r="B551" s="9" t="s">
        <v>63</v>
      </c>
      <c r="C551" s="9" t="s">
        <v>64</v>
      </c>
      <c r="D551" s="9" t="s">
        <v>471</v>
      </c>
      <c r="E551" s="10" t="s">
        <v>65</v>
      </c>
      <c r="F551" s="66">
        <v>2716.5</v>
      </c>
      <c r="G551" s="66">
        <v>2716.5</v>
      </c>
      <c r="H551" s="66">
        <v>2716.5</v>
      </c>
    </row>
    <row r="552" spans="1:8" ht="38.1" customHeight="1" x14ac:dyDescent="0.2">
      <c r="A552" s="9" t="s">
        <v>472</v>
      </c>
      <c r="B552" s="9" t="s">
        <v>13</v>
      </c>
      <c r="C552" s="9"/>
      <c r="D552" s="9"/>
      <c r="E552" s="41" t="s">
        <v>473</v>
      </c>
      <c r="F552" s="66">
        <f t="shared" ref="F552:H553" si="99">F553</f>
        <v>15100</v>
      </c>
      <c r="G552" s="66">
        <f t="shared" si="99"/>
        <v>2100</v>
      </c>
      <c r="H552" s="66">
        <f t="shared" si="99"/>
        <v>3690</v>
      </c>
    </row>
    <row r="553" spans="1:8" ht="36.950000000000003" customHeight="1" x14ac:dyDescent="0.2">
      <c r="A553" s="9" t="s">
        <v>472</v>
      </c>
      <c r="B553" s="9" t="s">
        <v>61</v>
      </c>
      <c r="C553" s="9"/>
      <c r="D553" s="9"/>
      <c r="E553" s="10" t="s">
        <v>62</v>
      </c>
      <c r="F553" s="66">
        <f t="shared" si="99"/>
        <v>15100</v>
      </c>
      <c r="G553" s="66">
        <f t="shared" si="99"/>
        <v>2100</v>
      </c>
      <c r="H553" s="66">
        <f t="shared" si="99"/>
        <v>3690</v>
      </c>
    </row>
    <row r="554" spans="1:8" ht="36.950000000000003" customHeight="1" x14ac:dyDescent="0.2">
      <c r="A554" s="9" t="s">
        <v>472</v>
      </c>
      <c r="B554" s="9" t="s">
        <v>63</v>
      </c>
      <c r="C554" s="9" t="s">
        <v>64</v>
      </c>
      <c r="D554" s="9" t="s">
        <v>471</v>
      </c>
      <c r="E554" s="42" t="s">
        <v>65</v>
      </c>
      <c r="F554" s="66">
        <f>5600+9500</f>
        <v>15100</v>
      </c>
      <c r="G554" s="72">
        <v>2100</v>
      </c>
      <c r="H554" s="72">
        <v>3690</v>
      </c>
    </row>
    <row r="555" spans="1:8" ht="33" customHeight="1" x14ac:dyDescent="0.2">
      <c r="A555" s="9" t="s">
        <v>474</v>
      </c>
      <c r="B555" s="9" t="s">
        <v>13</v>
      </c>
      <c r="C555" s="9"/>
      <c r="D555" s="9"/>
      <c r="E555" s="11" t="s">
        <v>475</v>
      </c>
      <c r="F555" s="66">
        <f t="shared" ref="F555:H557" si="100">F556</f>
        <v>9800</v>
      </c>
      <c r="G555" s="66">
        <f t="shared" si="100"/>
        <v>0</v>
      </c>
      <c r="H555" s="66">
        <f t="shared" si="100"/>
        <v>0</v>
      </c>
    </row>
    <row r="556" spans="1:8" ht="39.950000000000003" customHeight="1" x14ac:dyDescent="0.2">
      <c r="A556" s="9" t="s">
        <v>476</v>
      </c>
      <c r="B556" s="9" t="s">
        <v>13</v>
      </c>
      <c r="C556" s="9"/>
      <c r="D556" s="9"/>
      <c r="E556" s="11" t="s">
        <v>477</v>
      </c>
      <c r="F556" s="66">
        <f t="shared" si="100"/>
        <v>9800</v>
      </c>
      <c r="G556" s="66">
        <f t="shared" si="100"/>
        <v>0</v>
      </c>
      <c r="H556" s="66">
        <f t="shared" si="100"/>
        <v>0</v>
      </c>
    </row>
    <row r="557" spans="1:8" ht="39" customHeight="1" x14ac:dyDescent="0.2">
      <c r="A557" s="9" t="s">
        <v>476</v>
      </c>
      <c r="B557" s="9" t="s">
        <v>228</v>
      </c>
      <c r="C557" s="9"/>
      <c r="D557" s="9"/>
      <c r="E557" s="12" t="s">
        <v>229</v>
      </c>
      <c r="F557" s="66">
        <f t="shared" si="100"/>
        <v>9800</v>
      </c>
      <c r="G557" s="66">
        <f t="shared" si="100"/>
        <v>0</v>
      </c>
      <c r="H557" s="66">
        <f t="shared" si="100"/>
        <v>0</v>
      </c>
    </row>
    <row r="558" spans="1:8" ht="24.95" customHeight="1" x14ac:dyDescent="0.2">
      <c r="A558" s="9" t="s">
        <v>476</v>
      </c>
      <c r="B558" s="9" t="s">
        <v>230</v>
      </c>
      <c r="C558" s="9" t="s">
        <v>64</v>
      </c>
      <c r="D558" s="9" t="s">
        <v>471</v>
      </c>
      <c r="E558" s="10" t="s">
        <v>478</v>
      </c>
      <c r="F558" s="69">
        <f>31842.5-22042.5</f>
        <v>9800</v>
      </c>
      <c r="G558" s="70">
        <v>0</v>
      </c>
      <c r="H558" s="70">
        <v>0</v>
      </c>
    </row>
    <row r="559" spans="1:8" ht="57" customHeight="1" x14ac:dyDescent="0.2">
      <c r="A559" s="9" t="s">
        <v>479</v>
      </c>
      <c r="B559" s="9" t="s">
        <v>13</v>
      </c>
      <c r="C559" s="9"/>
      <c r="D559" s="9"/>
      <c r="E559" s="10" t="s">
        <v>480</v>
      </c>
      <c r="F559" s="66">
        <f>F560+F663+F677+F701</f>
        <v>275811.34130999999</v>
      </c>
      <c r="G559" s="66">
        <f>G560+G663+G677+G701</f>
        <v>236591.44</v>
      </c>
      <c r="H559" s="66">
        <f>H560+H663+H677+H701</f>
        <v>216591.44</v>
      </c>
    </row>
    <row r="560" spans="1:8" ht="53.1" customHeight="1" x14ac:dyDescent="0.2">
      <c r="A560" s="9" t="s">
        <v>481</v>
      </c>
      <c r="B560" s="9" t="s">
        <v>13</v>
      </c>
      <c r="C560" s="9"/>
      <c r="D560" s="9"/>
      <c r="E560" s="10" t="s">
        <v>482</v>
      </c>
      <c r="F560" s="66">
        <f>F561+F617+F635+F639+F646+F653</f>
        <v>247817.42131000001</v>
      </c>
      <c r="G560" s="66">
        <f>G561+G617+G635+G639+G646+G653</f>
        <v>210393.44000000003</v>
      </c>
      <c r="H560" s="66">
        <f>H561+H617+H635+H639+H646+H653</f>
        <v>190393.44000000003</v>
      </c>
    </row>
    <row r="561" spans="1:8" ht="54" customHeight="1" x14ac:dyDescent="0.2">
      <c r="A561" s="9" t="s">
        <v>483</v>
      </c>
      <c r="B561" s="9" t="s">
        <v>13</v>
      </c>
      <c r="C561" s="9"/>
      <c r="D561" s="9"/>
      <c r="E561" s="12" t="s">
        <v>484</v>
      </c>
      <c r="F561" s="66">
        <f>F562+F565+F568+F571+F574+F577+F580+F583+F586+F589+F592+F595+F598+F605+F608+F611+F614</f>
        <v>118312.26217999999</v>
      </c>
      <c r="G561" s="66">
        <f>G562+G565+G568+G571+G574+G577+G598+G605+G611+G614</f>
        <v>97274.790000000008</v>
      </c>
      <c r="H561" s="66">
        <f>H562+H565+H568+H571+H574+H577+H598+H605+H611+H614</f>
        <v>77274.790000000008</v>
      </c>
    </row>
    <row r="562" spans="1:8" ht="86.1" customHeight="1" x14ac:dyDescent="0.2">
      <c r="A562" s="15" t="s">
        <v>485</v>
      </c>
      <c r="B562" s="15" t="s">
        <v>13</v>
      </c>
      <c r="C562" s="9"/>
      <c r="D562" s="9"/>
      <c r="E562" s="19" t="s">
        <v>486</v>
      </c>
      <c r="F562" s="66">
        <f t="shared" ref="F562:H563" si="101">F563</f>
        <v>476.77800000000002</v>
      </c>
      <c r="G562" s="66">
        <f t="shared" si="101"/>
        <v>0</v>
      </c>
      <c r="H562" s="66">
        <f t="shared" si="101"/>
        <v>0</v>
      </c>
    </row>
    <row r="563" spans="1:8" ht="36" customHeight="1" x14ac:dyDescent="0.2">
      <c r="A563" s="15" t="s">
        <v>485</v>
      </c>
      <c r="B563" s="15" t="s">
        <v>61</v>
      </c>
      <c r="C563" s="9"/>
      <c r="D563" s="9"/>
      <c r="E563" s="22" t="s">
        <v>62</v>
      </c>
      <c r="F563" s="66">
        <f t="shared" si="101"/>
        <v>476.77800000000002</v>
      </c>
      <c r="G563" s="66">
        <f t="shared" si="101"/>
        <v>0</v>
      </c>
      <c r="H563" s="66">
        <f t="shared" si="101"/>
        <v>0</v>
      </c>
    </row>
    <row r="564" spans="1:8" ht="36" customHeight="1" x14ac:dyDescent="0.2">
      <c r="A564" s="15" t="s">
        <v>485</v>
      </c>
      <c r="B564" s="15" t="s">
        <v>63</v>
      </c>
      <c r="C564" s="9" t="s">
        <v>219</v>
      </c>
      <c r="D564" s="9" t="s">
        <v>487</v>
      </c>
      <c r="E564" s="22" t="s">
        <v>65</v>
      </c>
      <c r="F564" s="66">
        <v>476.77800000000002</v>
      </c>
      <c r="G564" s="66">
        <v>0</v>
      </c>
      <c r="H564" s="66">
        <v>0</v>
      </c>
    </row>
    <row r="565" spans="1:8" ht="87" customHeight="1" x14ac:dyDescent="0.2">
      <c r="A565" s="15" t="s">
        <v>488</v>
      </c>
      <c r="B565" s="15" t="s">
        <v>13</v>
      </c>
      <c r="C565" s="9"/>
      <c r="D565" s="9"/>
      <c r="E565" s="19" t="s">
        <v>486</v>
      </c>
      <c r="F565" s="66">
        <f t="shared" ref="F565:H566" si="102">F566</f>
        <v>123</v>
      </c>
      <c r="G565" s="66">
        <f t="shared" si="102"/>
        <v>0</v>
      </c>
      <c r="H565" s="66">
        <f t="shared" si="102"/>
        <v>0</v>
      </c>
    </row>
    <row r="566" spans="1:8" ht="36" customHeight="1" x14ac:dyDescent="0.2">
      <c r="A566" s="15" t="s">
        <v>488</v>
      </c>
      <c r="B566" s="15" t="s">
        <v>61</v>
      </c>
      <c r="C566" s="9"/>
      <c r="D566" s="9"/>
      <c r="E566" s="22" t="s">
        <v>62</v>
      </c>
      <c r="F566" s="66">
        <f t="shared" si="102"/>
        <v>123</v>
      </c>
      <c r="G566" s="66">
        <f t="shared" si="102"/>
        <v>0</v>
      </c>
      <c r="H566" s="66">
        <f t="shared" si="102"/>
        <v>0</v>
      </c>
    </row>
    <row r="567" spans="1:8" ht="36" customHeight="1" x14ac:dyDescent="0.2">
      <c r="A567" s="15" t="s">
        <v>488</v>
      </c>
      <c r="B567" s="15" t="s">
        <v>63</v>
      </c>
      <c r="C567" s="9" t="s">
        <v>219</v>
      </c>
      <c r="D567" s="9" t="s">
        <v>487</v>
      </c>
      <c r="E567" s="22" t="s">
        <v>65</v>
      </c>
      <c r="F567" s="66">
        <v>123</v>
      </c>
      <c r="G567" s="66">
        <v>0</v>
      </c>
      <c r="H567" s="66">
        <v>0</v>
      </c>
    </row>
    <row r="568" spans="1:8" ht="71.099999999999994" customHeight="1" x14ac:dyDescent="0.2">
      <c r="A568" s="15" t="s">
        <v>489</v>
      </c>
      <c r="B568" s="15" t="s">
        <v>13</v>
      </c>
      <c r="C568" s="9"/>
      <c r="D568" s="9"/>
      <c r="E568" s="19" t="s">
        <v>490</v>
      </c>
      <c r="F568" s="66">
        <f t="shared" ref="F568:H569" si="103">F569</f>
        <v>479</v>
      </c>
      <c r="G568" s="66">
        <f t="shared" si="103"/>
        <v>0</v>
      </c>
      <c r="H568" s="66">
        <f t="shared" si="103"/>
        <v>0</v>
      </c>
    </row>
    <row r="569" spans="1:8" ht="36" customHeight="1" x14ac:dyDescent="0.2">
      <c r="A569" s="15" t="s">
        <v>489</v>
      </c>
      <c r="B569" s="15" t="s">
        <v>61</v>
      </c>
      <c r="C569" s="9"/>
      <c r="D569" s="9"/>
      <c r="E569" s="22" t="s">
        <v>62</v>
      </c>
      <c r="F569" s="66">
        <f t="shared" si="103"/>
        <v>479</v>
      </c>
      <c r="G569" s="66">
        <f t="shared" si="103"/>
        <v>0</v>
      </c>
      <c r="H569" s="66">
        <f t="shared" si="103"/>
        <v>0</v>
      </c>
    </row>
    <row r="570" spans="1:8" ht="36" customHeight="1" x14ac:dyDescent="0.2">
      <c r="A570" s="15" t="s">
        <v>489</v>
      </c>
      <c r="B570" s="15" t="s">
        <v>63</v>
      </c>
      <c r="C570" s="15">
        <v>603</v>
      </c>
      <c r="D570" s="9" t="s">
        <v>487</v>
      </c>
      <c r="E570" s="22" t="s">
        <v>65</v>
      </c>
      <c r="F570" s="66">
        <v>479</v>
      </c>
      <c r="G570" s="66">
        <v>0</v>
      </c>
      <c r="H570" s="66">
        <v>0</v>
      </c>
    </row>
    <row r="571" spans="1:8" ht="69.95" customHeight="1" x14ac:dyDescent="0.2">
      <c r="A571" s="15" t="s">
        <v>491</v>
      </c>
      <c r="B571" s="15" t="s">
        <v>13</v>
      </c>
      <c r="C571" s="9"/>
      <c r="D571" s="9"/>
      <c r="E571" s="19" t="s">
        <v>490</v>
      </c>
      <c r="F571" s="66">
        <f t="shared" ref="F571:H572" si="104">F572</f>
        <v>120</v>
      </c>
      <c r="G571" s="66">
        <f t="shared" si="104"/>
        <v>0</v>
      </c>
      <c r="H571" s="66">
        <f t="shared" si="104"/>
        <v>0</v>
      </c>
    </row>
    <row r="572" spans="1:8" ht="36" customHeight="1" x14ac:dyDescent="0.2">
      <c r="A572" s="15" t="s">
        <v>491</v>
      </c>
      <c r="B572" s="15" t="s">
        <v>61</v>
      </c>
      <c r="C572" s="9"/>
      <c r="D572" s="9"/>
      <c r="E572" s="22" t="s">
        <v>62</v>
      </c>
      <c r="F572" s="66">
        <f t="shared" si="104"/>
        <v>120</v>
      </c>
      <c r="G572" s="66">
        <f t="shared" si="104"/>
        <v>0</v>
      </c>
      <c r="H572" s="66">
        <f t="shared" si="104"/>
        <v>0</v>
      </c>
    </row>
    <row r="573" spans="1:8" ht="36" customHeight="1" x14ac:dyDescent="0.2">
      <c r="A573" s="15" t="s">
        <v>491</v>
      </c>
      <c r="B573" s="15" t="s">
        <v>63</v>
      </c>
      <c r="C573" s="9" t="s">
        <v>219</v>
      </c>
      <c r="D573" s="9" t="s">
        <v>487</v>
      </c>
      <c r="E573" s="22" t="s">
        <v>65</v>
      </c>
      <c r="F573" s="66">
        <v>120</v>
      </c>
      <c r="G573" s="66">
        <v>0</v>
      </c>
      <c r="H573" s="66">
        <v>0</v>
      </c>
    </row>
    <row r="574" spans="1:8" ht="68.099999999999994" customHeight="1" x14ac:dyDescent="0.2">
      <c r="A574" s="15" t="s">
        <v>492</v>
      </c>
      <c r="B574" s="15" t="s">
        <v>13</v>
      </c>
      <c r="C574" s="9"/>
      <c r="D574" s="9"/>
      <c r="E574" s="19" t="s">
        <v>493</v>
      </c>
      <c r="F574" s="66">
        <f t="shared" ref="F574:H575" si="105">F575</f>
        <v>1371.15642</v>
      </c>
      <c r="G574" s="66">
        <f t="shared" si="105"/>
        <v>0</v>
      </c>
      <c r="H574" s="66">
        <f t="shared" si="105"/>
        <v>0</v>
      </c>
    </row>
    <row r="575" spans="1:8" ht="36" customHeight="1" x14ac:dyDescent="0.2">
      <c r="A575" s="15" t="s">
        <v>492</v>
      </c>
      <c r="B575" s="15" t="s">
        <v>61</v>
      </c>
      <c r="C575" s="9"/>
      <c r="D575" s="9"/>
      <c r="E575" s="22" t="s">
        <v>62</v>
      </c>
      <c r="F575" s="66">
        <f t="shared" si="105"/>
        <v>1371.15642</v>
      </c>
      <c r="G575" s="66">
        <f t="shared" si="105"/>
        <v>0</v>
      </c>
      <c r="H575" s="66">
        <f t="shared" si="105"/>
        <v>0</v>
      </c>
    </row>
    <row r="576" spans="1:8" ht="36" customHeight="1" x14ac:dyDescent="0.2">
      <c r="A576" s="15" t="s">
        <v>492</v>
      </c>
      <c r="B576" s="15" t="s">
        <v>63</v>
      </c>
      <c r="C576" s="9" t="s">
        <v>219</v>
      </c>
      <c r="D576" s="9" t="s">
        <v>487</v>
      </c>
      <c r="E576" s="22" t="s">
        <v>65</v>
      </c>
      <c r="F576" s="66">
        <f>1403.21-32.05358</f>
        <v>1371.15642</v>
      </c>
      <c r="G576" s="66">
        <v>0</v>
      </c>
      <c r="H576" s="66">
        <v>0</v>
      </c>
    </row>
    <row r="577" spans="1:8" ht="71.099999999999994" customHeight="1" x14ac:dyDescent="0.2">
      <c r="A577" s="15" t="s">
        <v>494</v>
      </c>
      <c r="B577" s="15" t="s">
        <v>13</v>
      </c>
      <c r="C577" s="9"/>
      <c r="D577" s="9"/>
      <c r="E577" s="19" t="s">
        <v>493</v>
      </c>
      <c r="F577" s="66">
        <f t="shared" ref="F577:H578" si="106">F578</f>
        <v>204.63189</v>
      </c>
      <c r="G577" s="66">
        <f t="shared" si="106"/>
        <v>0</v>
      </c>
      <c r="H577" s="66">
        <f t="shared" si="106"/>
        <v>0</v>
      </c>
    </row>
    <row r="578" spans="1:8" ht="36" customHeight="1" x14ac:dyDescent="0.2">
      <c r="A578" s="15" t="s">
        <v>494</v>
      </c>
      <c r="B578" s="15" t="s">
        <v>61</v>
      </c>
      <c r="C578" s="9"/>
      <c r="D578" s="9"/>
      <c r="E578" s="22" t="s">
        <v>62</v>
      </c>
      <c r="F578" s="66">
        <f t="shared" si="106"/>
        <v>204.63189</v>
      </c>
      <c r="G578" s="66">
        <f t="shared" si="106"/>
        <v>0</v>
      </c>
      <c r="H578" s="66">
        <f t="shared" si="106"/>
        <v>0</v>
      </c>
    </row>
    <row r="579" spans="1:8" ht="36" customHeight="1" x14ac:dyDescent="0.2">
      <c r="A579" s="15" t="s">
        <v>494</v>
      </c>
      <c r="B579" s="15" t="s">
        <v>63</v>
      </c>
      <c r="C579" s="9" t="s">
        <v>219</v>
      </c>
      <c r="D579" s="9" t="s">
        <v>487</v>
      </c>
      <c r="E579" s="22" t="s">
        <v>65</v>
      </c>
      <c r="F579" s="66">
        <f>210-5.36811</f>
        <v>204.63189</v>
      </c>
      <c r="G579" s="66">
        <v>0</v>
      </c>
      <c r="H579" s="66">
        <v>0</v>
      </c>
    </row>
    <row r="580" spans="1:8" ht="69.75" customHeight="1" x14ac:dyDescent="0.2">
      <c r="A580" s="15" t="s">
        <v>843</v>
      </c>
      <c r="B580" s="15" t="s">
        <v>13</v>
      </c>
      <c r="C580" s="9"/>
      <c r="D580" s="9"/>
      <c r="E580" s="21" t="s">
        <v>837</v>
      </c>
      <c r="F580" s="66">
        <f t="shared" ref="F580:H581" si="107">F581</f>
        <v>474.99900000000002</v>
      </c>
      <c r="G580" s="66">
        <f t="shared" si="107"/>
        <v>0</v>
      </c>
      <c r="H580" s="66">
        <f t="shared" si="107"/>
        <v>0</v>
      </c>
    </row>
    <row r="581" spans="1:8" ht="36" customHeight="1" x14ac:dyDescent="0.2">
      <c r="A581" s="15" t="s">
        <v>843</v>
      </c>
      <c r="B581" s="15" t="s">
        <v>61</v>
      </c>
      <c r="C581" s="9"/>
      <c r="D581" s="9"/>
      <c r="E581" s="22" t="s">
        <v>62</v>
      </c>
      <c r="F581" s="66">
        <f t="shared" si="107"/>
        <v>474.99900000000002</v>
      </c>
      <c r="G581" s="66">
        <f t="shared" si="107"/>
        <v>0</v>
      </c>
      <c r="H581" s="66">
        <f t="shared" si="107"/>
        <v>0</v>
      </c>
    </row>
    <row r="582" spans="1:8" ht="36" customHeight="1" x14ac:dyDescent="0.2">
      <c r="A582" s="15" t="s">
        <v>843</v>
      </c>
      <c r="B582" s="15" t="s">
        <v>63</v>
      </c>
      <c r="C582" s="9" t="s">
        <v>219</v>
      </c>
      <c r="D582" s="9" t="s">
        <v>487</v>
      </c>
      <c r="E582" s="22" t="s">
        <v>65</v>
      </c>
      <c r="F582" s="66">
        <v>474.99900000000002</v>
      </c>
      <c r="G582" s="66">
        <v>0</v>
      </c>
      <c r="H582" s="66">
        <v>0</v>
      </c>
    </row>
    <row r="583" spans="1:8" ht="72.75" customHeight="1" x14ac:dyDescent="0.2">
      <c r="A583" s="15" t="s">
        <v>844</v>
      </c>
      <c r="B583" s="15" t="s">
        <v>13</v>
      </c>
      <c r="C583" s="9"/>
      <c r="D583" s="9"/>
      <c r="E583" s="21" t="s">
        <v>838</v>
      </c>
      <c r="F583" s="66">
        <f t="shared" ref="F583:H584" si="108">F584</f>
        <v>125</v>
      </c>
      <c r="G583" s="66">
        <f t="shared" si="108"/>
        <v>0</v>
      </c>
      <c r="H583" s="66">
        <f t="shared" si="108"/>
        <v>0</v>
      </c>
    </row>
    <row r="584" spans="1:8" ht="36" customHeight="1" x14ac:dyDescent="0.2">
      <c r="A584" s="15" t="s">
        <v>844</v>
      </c>
      <c r="B584" s="15" t="s">
        <v>61</v>
      </c>
      <c r="C584" s="9"/>
      <c r="D584" s="9"/>
      <c r="E584" s="22" t="s">
        <v>62</v>
      </c>
      <c r="F584" s="66">
        <f t="shared" si="108"/>
        <v>125</v>
      </c>
      <c r="G584" s="66">
        <f t="shared" si="108"/>
        <v>0</v>
      </c>
      <c r="H584" s="66">
        <f t="shared" si="108"/>
        <v>0</v>
      </c>
    </row>
    <row r="585" spans="1:8" ht="36" customHeight="1" x14ac:dyDescent="0.2">
      <c r="A585" s="15" t="s">
        <v>844</v>
      </c>
      <c r="B585" s="15" t="s">
        <v>63</v>
      </c>
      <c r="C585" s="9" t="s">
        <v>219</v>
      </c>
      <c r="D585" s="9" t="s">
        <v>487</v>
      </c>
      <c r="E585" s="22" t="s">
        <v>65</v>
      </c>
      <c r="F585" s="66">
        <v>125</v>
      </c>
      <c r="G585" s="66">
        <v>0</v>
      </c>
      <c r="H585" s="66">
        <v>0</v>
      </c>
    </row>
    <row r="586" spans="1:8" ht="54.75" customHeight="1" x14ac:dyDescent="0.2">
      <c r="A586" s="15" t="s">
        <v>845</v>
      </c>
      <c r="B586" s="15" t="s">
        <v>13</v>
      </c>
      <c r="C586" s="9"/>
      <c r="D586" s="9"/>
      <c r="E586" s="21" t="s">
        <v>839</v>
      </c>
      <c r="F586" s="66">
        <f t="shared" ref="F586:H587" si="109">F587</f>
        <v>648.48</v>
      </c>
      <c r="G586" s="66">
        <f t="shared" si="109"/>
        <v>0</v>
      </c>
      <c r="H586" s="66">
        <f t="shared" si="109"/>
        <v>0</v>
      </c>
    </row>
    <row r="587" spans="1:8" ht="36" customHeight="1" x14ac:dyDescent="0.2">
      <c r="A587" s="15" t="s">
        <v>845</v>
      </c>
      <c r="B587" s="15" t="s">
        <v>61</v>
      </c>
      <c r="C587" s="9"/>
      <c r="D587" s="9"/>
      <c r="E587" s="22" t="s">
        <v>62</v>
      </c>
      <c r="F587" s="66">
        <f t="shared" si="109"/>
        <v>648.48</v>
      </c>
      <c r="G587" s="66">
        <f t="shared" si="109"/>
        <v>0</v>
      </c>
      <c r="H587" s="66">
        <f t="shared" si="109"/>
        <v>0</v>
      </c>
    </row>
    <row r="588" spans="1:8" ht="36" customHeight="1" x14ac:dyDescent="0.2">
      <c r="A588" s="15" t="s">
        <v>845</v>
      </c>
      <c r="B588" s="15" t="s">
        <v>63</v>
      </c>
      <c r="C588" s="9" t="s">
        <v>219</v>
      </c>
      <c r="D588" s="9" t="s">
        <v>487</v>
      </c>
      <c r="E588" s="22" t="s">
        <v>65</v>
      </c>
      <c r="F588" s="66">
        <v>648.48</v>
      </c>
      <c r="G588" s="66">
        <v>0</v>
      </c>
      <c r="H588" s="66">
        <v>0</v>
      </c>
    </row>
    <row r="589" spans="1:8" ht="54" customHeight="1" x14ac:dyDescent="0.2">
      <c r="A589" s="15" t="s">
        <v>846</v>
      </c>
      <c r="B589" s="15" t="s">
        <v>13</v>
      </c>
      <c r="C589" s="9"/>
      <c r="D589" s="9"/>
      <c r="E589" s="21" t="s">
        <v>840</v>
      </c>
      <c r="F589" s="66">
        <f t="shared" ref="F589:H590" si="110">F590</f>
        <v>77</v>
      </c>
      <c r="G589" s="66">
        <f t="shared" si="110"/>
        <v>0</v>
      </c>
      <c r="H589" s="66">
        <f t="shared" si="110"/>
        <v>0</v>
      </c>
    </row>
    <row r="590" spans="1:8" ht="36" customHeight="1" x14ac:dyDescent="0.2">
      <c r="A590" s="15" t="s">
        <v>846</v>
      </c>
      <c r="B590" s="15" t="s">
        <v>61</v>
      </c>
      <c r="C590" s="9"/>
      <c r="D590" s="9"/>
      <c r="E590" s="22" t="s">
        <v>62</v>
      </c>
      <c r="F590" s="66">
        <f t="shared" si="110"/>
        <v>77</v>
      </c>
      <c r="G590" s="66">
        <f t="shared" si="110"/>
        <v>0</v>
      </c>
      <c r="H590" s="66">
        <f t="shared" si="110"/>
        <v>0</v>
      </c>
    </row>
    <row r="591" spans="1:8" ht="36" customHeight="1" x14ac:dyDescent="0.2">
      <c r="A591" s="15" t="s">
        <v>846</v>
      </c>
      <c r="B591" s="15" t="s">
        <v>63</v>
      </c>
      <c r="C591" s="9" t="s">
        <v>219</v>
      </c>
      <c r="D591" s="9" t="s">
        <v>487</v>
      </c>
      <c r="E591" s="22" t="s">
        <v>65</v>
      </c>
      <c r="F591" s="66">
        <v>77</v>
      </c>
      <c r="G591" s="66">
        <v>0</v>
      </c>
      <c r="H591" s="66">
        <v>0</v>
      </c>
    </row>
    <row r="592" spans="1:8" ht="68.25" customHeight="1" x14ac:dyDescent="0.2">
      <c r="A592" s="15" t="s">
        <v>847</v>
      </c>
      <c r="B592" s="15" t="s">
        <v>13</v>
      </c>
      <c r="C592" s="9"/>
      <c r="D592" s="9"/>
      <c r="E592" s="21" t="s">
        <v>841</v>
      </c>
      <c r="F592" s="66">
        <f t="shared" ref="F592:H593" si="111">F593</f>
        <v>467.87200000000001</v>
      </c>
      <c r="G592" s="66">
        <f t="shared" si="111"/>
        <v>0</v>
      </c>
      <c r="H592" s="66">
        <f t="shared" si="111"/>
        <v>0</v>
      </c>
    </row>
    <row r="593" spans="1:8" ht="36" customHeight="1" x14ac:dyDescent="0.2">
      <c r="A593" s="15" t="s">
        <v>847</v>
      </c>
      <c r="B593" s="15" t="s">
        <v>61</v>
      </c>
      <c r="C593" s="9"/>
      <c r="D593" s="9"/>
      <c r="E593" s="22" t="s">
        <v>62</v>
      </c>
      <c r="F593" s="66">
        <f t="shared" si="111"/>
        <v>467.87200000000001</v>
      </c>
      <c r="G593" s="66">
        <f t="shared" si="111"/>
        <v>0</v>
      </c>
      <c r="H593" s="66">
        <f t="shared" si="111"/>
        <v>0</v>
      </c>
    </row>
    <row r="594" spans="1:8" ht="36" customHeight="1" x14ac:dyDescent="0.2">
      <c r="A594" s="15" t="s">
        <v>847</v>
      </c>
      <c r="B594" s="15" t="s">
        <v>63</v>
      </c>
      <c r="C594" s="9" t="s">
        <v>219</v>
      </c>
      <c r="D594" s="9" t="s">
        <v>487</v>
      </c>
      <c r="E594" s="22" t="s">
        <v>65</v>
      </c>
      <c r="F594" s="66">
        <v>467.87200000000001</v>
      </c>
      <c r="G594" s="66">
        <v>0</v>
      </c>
      <c r="H594" s="66">
        <v>0</v>
      </c>
    </row>
    <row r="595" spans="1:8" ht="70.5" customHeight="1" x14ac:dyDescent="0.2">
      <c r="A595" s="15" t="s">
        <v>848</v>
      </c>
      <c r="B595" s="15" t="s">
        <v>13</v>
      </c>
      <c r="C595" s="9"/>
      <c r="D595" s="9"/>
      <c r="E595" s="21" t="s">
        <v>842</v>
      </c>
      <c r="F595" s="66">
        <f t="shared" ref="F595:H596" si="112">F596</f>
        <v>120</v>
      </c>
      <c r="G595" s="66">
        <f t="shared" si="112"/>
        <v>0</v>
      </c>
      <c r="H595" s="66">
        <f t="shared" si="112"/>
        <v>0</v>
      </c>
    </row>
    <row r="596" spans="1:8" ht="36" customHeight="1" x14ac:dyDescent="0.2">
      <c r="A596" s="15" t="s">
        <v>848</v>
      </c>
      <c r="B596" s="15" t="s">
        <v>61</v>
      </c>
      <c r="C596" s="9"/>
      <c r="D596" s="9"/>
      <c r="E596" s="22" t="s">
        <v>62</v>
      </c>
      <c r="F596" s="66">
        <f t="shared" si="112"/>
        <v>120</v>
      </c>
      <c r="G596" s="66">
        <f t="shared" si="112"/>
        <v>0</v>
      </c>
      <c r="H596" s="66">
        <f t="shared" si="112"/>
        <v>0</v>
      </c>
    </row>
    <row r="597" spans="1:8" ht="36" customHeight="1" x14ac:dyDescent="0.2">
      <c r="A597" s="15" t="s">
        <v>848</v>
      </c>
      <c r="B597" s="15" t="s">
        <v>63</v>
      </c>
      <c r="C597" s="9" t="s">
        <v>219</v>
      </c>
      <c r="D597" s="9" t="s">
        <v>487</v>
      </c>
      <c r="E597" s="22" t="s">
        <v>65</v>
      </c>
      <c r="F597" s="66">
        <v>120</v>
      </c>
      <c r="G597" s="66">
        <v>0</v>
      </c>
      <c r="H597" s="66">
        <v>0</v>
      </c>
    </row>
    <row r="598" spans="1:8" ht="36" customHeight="1" x14ac:dyDescent="0.2">
      <c r="A598" s="9" t="s">
        <v>495</v>
      </c>
      <c r="B598" s="9" t="s">
        <v>13</v>
      </c>
      <c r="C598" s="9"/>
      <c r="D598" s="9"/>
      <c r="E598" s="41" t="s">
        <v>496</v>
      </c>
      <c r="F598" s="66">
        <f>F599+F601+F603</f>
        <v>64014.851999999992</v>
      </c>
      <c r="G598" s="66">
        <f>G599+G601+G603</f>
        <v>57274.79</v>
      </c>
      <c r="H598" s="66">
        <f>H599+H601+H603</f>
        <v>57274.79</v>
      </c>
    </row>
    <row r="599" spans="1:8" ht="66.75" customHeight="1" x14ac:dyDescent="0.2">
      <c r="A599" s="9" t="s">
        <v>495</v>
      </c>
      <c r="B599" s="9" t="s">
        <v>78</v>
      </c>
      <c r="C599" s="9"/>
      <c r="D599" s="9"/>
      <c r="E599" s="10" t="s">
        <v>79</v>
      </c>
      <c r="F599" s="66">
        <f>F600</f>
        <v>31957.05</v>
      </c>
      <c r="G599" s="66">
        <f>G600</f>
        <v>32052.09</v>
      </c>
      <c r="H599" s="66">
        <f>H600</f>
        <v>32052.09</v>
      </c>
    </row>
    <row r="600" spans="1:8" ht="32.1" customHeight="1" x14ac:dyDescent="0.2">
      <c r="A600" s="9" t="s">
        <v>495</v>
      </c>
      <c r="B600" s="9" t="s">
        <v>80</v>
      </c>
      <c r="C600" s="9" t="s">
        <v>219</v>
      </c>
      <c r="D600" s="9" t="s">
        <v>487</v>
      </c>
      <c r="E600" s="12" t="s">
        <v>82</v>
      </c>
      <c r="F600" s="66">
        <f>32062.71+64.36-170.02</f>
        <v>31957.05</v>
      </c>
      <c r="G600" s="66">
        <f>32062.7+159.41-170.02</f>
        <v>32052.09</v>
      </c>
      <c r="H600" s="66">
        <f>32062.7+159.41-170.02</f>
        <v>32052.09</v>
      </c>
    </row>
    <row r="601" spans="1:8" ht="36" customHeight="1" x14ac:dyDescent="0.2">
      <c r="A601" s="9" t="s">
        <v>495</v>
      </c>
      <c r="B601" s="9" t="s">
        <v>61</v>
      </c>
      <c r="C601" s="9"/>
      <c r="D601" s="9"/>
      <c r="E601" s="10" t="s">
        <v>62</v>
      </c>
      <c r="F601" s="66">
        <f>F602</f>
        <v>31946.940999999999</v>
      </c>
      <c r="G601" s="66">
        <f>G602</f>
        <v>25175.7</v>
      </c>
      <c r="H601" s="66">
        <f>H602</f>
        <v>25175.7</v>
      </c>
    </row>
    <row r="602" spans="1:8" ht="36.75" customHeight="1" x14ac:dyDescent="0.2">
      <c r="A602" s="9" t="s">
        <v>495</v>
      </c>
      <c r="B602" s="9" t="s">
        <v>63</v>
      </c>
      <c r="C602" s="9" t="s">
        <v>219</v>
      </c>
      <c r="D602" s="9" t="s">
        <v>487</v>
      </c>
      <c r="E602" s="10" t="s">
        <v>65</v>
      </c>
      <c r="F602" s="77">
        <f>25175.7-0.85+1798.991+4973.1</f>
        <v>31946.940999999999</v>
      </c>
      <c r="G602" s="66">
        <v>25175.7</v>
      </c>
      <c r="H602" s="66">
        <v>25175.7</v>
      </c>
    </row>
    <row r="603" spans="1:8" ht="22.5" customHeight="1" x14ac:dyDescent="0.2">
      <c r="A603" s="9" t="s">
        <v>495</v>
      </c>
      <c r="B603" s="9" t="s">
        <v>448</v>
      </c>
      <c r="C603" s="9"/>
      <c r="D603" s="9"/>
      <c r="E603" s="12" t="s">
        <v>449</v>
      </c>
      <c r="F603" s="66">
        <f>F604</f>
        <v>110.861</v>
      </c>
      <c r="G603" s="66">
        <f>G604</f>
        <v>47</v>
      </c>
      <c r="H603" s="66">
        <f>H604</f>
        <v>47</v>
      </c>
    </row>
    <row r="604" spans="1:8" ht="22.5" customHeight="1" x14ac:dyDescent="0.2">
      <c r="A604" s="9" t="s">
        <v>495</v>
      </c>
      <c r="B604" s="9" t="s">
        <v>450</v>
      </c>
      <c r="C604" s="9" t="s">
        <v>219</v>
      </c>
      <c r="D604" s="9" t="s">
        <v>487</v>
      </c>
      <c r="E604" s="12" t="s">
        <v>451</v>
      </c>
      <c r="F604" s="66">
        <f>47+0.85+63.011</f>
        <v>110.861</v>
      </c>
      <c r="G604" s="66">
        <v>47</v>
      </c>
      <c r="H604" s="66">
        <v>47</v>
      </c>
    </row>
    <row r="605" spans="1:8" ht="36.75" customHeight="1" x14ac:dyDescent="0.2">
      <c r="A605" s="9" t="s">
        <v>497</v>
      </c>
      <c r="B605" s="9" t="s">
        <v>13</v>
      </c>
      <c r="C605" s="9"/>
      <c r="D605" s="9"/>
      <c r="E605" s="10" t="s">
        <v>498</v>
      </c>
      <c r="F605" s="66">
        <f t="shared" ref="F605:H606" si="113">F606</f>
        <v>48153.892869999996</v>
      </c>
      <c r="G605" s="66">
        <f t="shared" si="113"/>
        <v>40000</v>
      </c>
      <c r="H605" s="66">
        <f t="shared" si="113"/>
        <v>20000</v>
      </c>
    </row>
    <row r="606" spans="1:8" ht="36.75" customHeight="1" x14ac:dyDescent="0.2">
      <c r="A606" s="9" t="s">
        <v>497</v>
      </c>
      <c r="B606" s="9" t="s">
        <v>61</v>
      </c>
      <c r="C606" s="9"/>
      <c r="D606" s="9"/>
      <c r="E606" s="10" t="s">
        <v>62</v>
      </c>
      <c r="F606" s="66">
        <f t="shared" si="113"/>
        <v>48153.892869999996</v>
      </c>
      <c r="G606" s="66">
        <f t="shared" si="113"/>
        <v>40000</v>
      </c>
      <c r="H606" s="66">
        <f t="shared" si="113"/>
        <v>20000</v>
      </c>
    </row>
    <row r="607" spans="1:8" ht="39" customHeight="1" x14ac:dyDescent="0.2">
      <c r="A607" s="9" t="s">
        <v>497</v>
      </c>
      <c r="B607" s="9" t="s">
        <v>63</v>
      </c>
      <c r="C607" s="9" t="s">
        <v>219</v>
      </c>
      <c r="D607" s="9" t="s">
        <v>487</v>
      </c>
      <c r="E607" s="10" t="s">
        <v>65</v>
      </c>
      <c r="F607" s="77">
        <f>72236.2+620-20000-500-2478.49713-1723.81</f>
        <v>48153.892869999996</v>
      </c>
      <c r="G607" s="66">
        <f>20000+20000</f>
        <v>40000</v>
      </c>
      <c r="H607" s="66">
        <f>50000-30000</f>
        <v>20000</v>
      </c>
    </row>
    <row r="608" spans="1:8" ht="54.95" customHeight="1" x14ac:dyDescent="0.2">
      <c r="A608" s="9" t="s">
        <v>499</v>
      </c>
      <c r="B608" s="9" t="s">
        <v>13</v>
      </c>
      <c r="C608" s="9"/>
      <c r="D608" s="9"/>
      <c r="E608" s="22" t="s">
        <v>500</v>
      </c>
      <c r="F608" s="66">
        <f t="shared" ref="F608:H608" si="114">F609</f>
        <v>690</v>
      </c>
      <c r="G608" s="66">
        <f t="shared" si="114"/>
        <v>0</v>
      </c>
      <c r="H608" s="66">
        <f t="shared" si="114"/>
        <v>0</v>
      </c>
    </row>
    <row r="609" spans="1:8" ht="39" customHeight="1" x14ac:dyDescent="0.2">
      <c r="A609" s="9" t="s">
        <v>499</v>
      </c>
      <c r="B609" s="9" t="s">
        <v>61</v>
      </c>
      <c r="C609" s="9"/>
      <c r="D609" s="9"/>
      <c r="E609" s="10" t="s">
        <v>62</v>
      </c>
      <c r="F609" s="66">
        <f t="shared" ref="F609:H609" si="115">F610</f>
        <v>690</v>
      </c>
      <c r="G609" s="66">
        <f t="shared" si="115"/>
        <v>0</v>
      </c>
      <c r="H609" s="66">
        <f t="shared" si="115"/>
        <v>0</v>
      </c>
    </row>
    <row r="610" spans="1:8" ht="39" customHeight="1" x14ac:dyDescent="0.2">
      <c r="A610" s="9" t="s">
        <v>499</v>
      </c>
      <c r="B610" s="9" t="s">
        <v>63</v>
      </c>
      <c r="C610" s="9" t="s">
        <v>219</v>
      </c>
      <c r="D610" s="9" t="s">
        <v>487</v>
      </c>
      <c r="E610" s="10" t="s">
        <v>65</v>
      </c>
      <c r="F610" s="66">
        <v>690</v>
      </c>
      <c r="G610" s="66">
        <v>0</v>
      </c>
      <c r="H610" s="66">
        <v>0</v>
      </c>
    </row>
    <row r="611" spans="1:8" ht="50.25" customHeight="1" x14ac:dyDescent="0.2">
      <c r="A611" s="9" t="s">
        <v>499</v>
      </c>
      <c r="B611" s="9" t="s">
        <v>13</v>
      </c>
      <c r="C611" s="9"/>
      <c r="D611" s="9"/>
      <c r="E611" s="10" t="s">
        <v>501</v>
      </c>
      <c r="F611" s="66">
        <f t="shared" ref="F611:H612" si="116">F612</f>
        <v>265.60000000000002</v>
      </c>
      <c r="G611" s="66">
        <f t="shared" si="116"/>
        <v>0</v>
      </c>
      <c r="H611" s="66">
        <f t="shared" si="116"/>
        <v>0</v>
      </c>
    </row>
    <row r="612" spans="1:8" ht="39" customHeight="1" x14ac:dyDescent="0.2">
      <c r="A612" s="9" t="s">
        <v>499</v>
      </c>
      <c r="B612" s="9" t="s">
        <v>61</v>
      </c>
      <c r="C612" s="9"/>
      <c r="D612" s="9"/>
      <c r="E612" s="10" t="s">
        <v>62</v>
      </c>
      <c r="F612" s="66">
        <f t="shared" si="116"/>
        <v>265.60000000000002</v>
      </c>
      <c r="G612" s="66">
        <f t="shared" si="116"/>
        <v>0</v>
      </c>
      <c r="H612" s="66">
        <f t="shared" si="116"/>
        <v>0</v>
      </c>
    </row>
    <row r="613" spans="1:8" ht="39" customHeight="1" x14ac:dyDescent="0.2">
      <c r="A613" s="9" t="s">
        <v>499</v>
      </c>
      <c r="B613" s="9" t="s">
        <v>63</v>
      </c>
      <c r="C613" s="9" t="s">
        <v>219</v>
      </c>
      <c r="D613" s="9" t="s">
        <v>487</v>
      </c>
      <c r="E613" s="10" t="s">
        <v>65</v>
      </c>
      <c r="F613" s="66">
        <f>345.1+200-279.5</f>
        <v>265.60000000000002</v>
      </c>
      <c r="G613" s="66">
        <v>0</v>
      </c>
      <c r="H613" s="66">
        <v>0</v>
      </c>
    </row>
    <row r="614" spans="1:8" ht="39" customHeight="1" x14ac:dyDescent="0.2">
      <c r="A614" s="15" t="s">
        <v>502</v>
      </c>
      <c r="B614" s="15" t="s">
        <v>13</v>
      </c>
      <c r="C614" s="9"/>
      <c r="D614" s="9"/>
      <c r="E614" s="43" t="s">
        <v>503</v>
      </c>
      <c r="F614" s="66">
        <f t="shared" ref="F614:H615" si="117">F615</f>
        <v>500</v>
      </c>
      <c r="G614" s="66">
        <f t="shared" si="117"/>
        <v>0</v>
      </c>
      <c r="H614" s="66">
        <f t="shared" si="117"/>
        <v>0</v>
      </c>
    </row>
    <row r="615" spans="1:8" ht="39" customHeight="1" x14ac:dyDescent="0.2">
      <c r="A615" s="15" t="s">
        <v>502</v>
      </c>
      <c r="B615" s="15" t="s">
        <v>61</v>
      </c>
      <c r="C615" s="9"/>
      <c r="D615" s="9"/>
      <c r="E615" s="22" t="s">
        <v>62</v>
      </c>
      <c r="F615" s="66">
        <f t="shared" si="117"/>
        <v>500</v>
      </c>
      <c r="G615" s="66">
        <f t="shared" si="117"/>
        <v>0</v>
      </c>
      <c r="H615" s="66">
        <f t="shared" si="117"/>
        <v>0</v>
      </c>
    </row>
    <row r="616" spans="1:8" ht="39" customHeight="1" x14ac:dyDescent="0.2">
      <c r="A616" s="15" t="s">
        <v>502</v>
      </c>
      <c r="B616" s="15" t="s">
        <v>63</v>
      </c>
      <c r="C616" s="9" t="s">
        <v>219</v>
      </c>
      <c r="D616" s="9" t="s">
        <v>487</v>
      </c>
      <c r="E616" s="22" t="s">
        <v>65</v>
      </c>
      <c r="F616" s="66">
        <v>500</v>
      </c>
      <c r="G616" s="66">
        <v>0</v>
      </c>
      <c r="H616" s="66">
        <v>0</v>
      </c>
    </row>
    <row r="617" spans="1:8" ht="47.1" customHeight="1" x14ac:dyDescent="0.2">
      <c r="A617" s="9" t="s">
        <v>504</v>
      </c>
      <c r="B617" s="9" t="s">
        <v>13</v>
      </c>
      <c r="C617" s="9"/>
      <c r="D617" s="9"/>
      <c r="E617" s="12" t="s">
        <v>505</v>
      </c>
      <c r="F617" s="66">
        <f>F618+F625+F628+F631</f>
        <v>12412.495130000001</v>
      </c>
      <c r="G617" s="66">
        <f>G618+G625+G628+G631</f>
        <v>11001.1</v>
      </c>
      <c r="H617" s="66">
        <f>H618+H625+H628+H631</f>
        <v>11001.1</v>
      </c>
    </row>
    <row r="618" spans="1:8" ht="23.25" customHeight="1" x14ac:dyDescent="0.2">
      <c r="A618" s="14" t="s">
        <v>506</v>
      </c>
      <c r="B618" s="14" t="s">
        <v>13</v>
      </c>
      <c r="C618" s="14"/>
      <c r="D618" s="14"/>
      <c r="E618" s="10" t="s">
        <v>507</v>
      </c>
      <c r="F618" s="66">
        <f>F620+F622+F623</f>
        <v>11985.79513</v>
      </c>
      <c r="G618" s="66">
        <f>G620+G622+G623</f>
        <v>10774.4</v>
      </c>
      <c r="H618" s="66">
        <f>H620+H622+H623</f>
        <v>10774.4</v>
      </c>
    </row>
    <row r="619" spans="1:8" ht="69" customHeight="1" x14ac:dyDescent="0.2">
      <c r="A619" s="9" t="s">
        <v>506</v>
      </c>
      <c r="B619" s="9" t="s">
        <v>78</v>
      </c>
      <c r="C619" s="9"/>
      <c r="D619" s="9"/>
      <c r="E619" s="10" t="s">
        <v>79</v>
      </c>
      <c r="F619" s="66">
        <f>F620</f>
        <v>8850</v>
      </c>
      <c r="G619" s="66">
        <f>G620</f>
        <v>8850</v>
      </c>
      <c r="H619" s="66">
        <f>H620</f>
        <v>8850</v>
      </c>
    </row>
    <row r="620" spans="1:8" ht="27" customHeight="1" x14ac:dyDescent="0.2">
      <c r="A620" s="9" t="s">
        <v>506</v>
      </c>
      <c r="B620" s="9" t="s">
        <v>80</v>
      </c>
      <c r="C620" s="9" t="s">
        <v>219</v>
      </c>
      <c r="D620" s="9" t="s">
        <v>487</v>
      </c>
      <c r="E620" s="12" t="s">
        <v>82</v>
      </c>
      <c r="F620" s="66">
        <v>8850</v>
      </c>
      <c r="G620" s="66">
        <v>8850</v>
      </c>
      <c r="H620" s="66">
        <v>8850</v>
      </c>
    </row>
    <row r="621" spans="1:8" ht="39" customHeight="1" x14ac:dyDescent="0.2">
      <c r="A621" s="9" t="s">
        <v>506</v>
      </c>
      <c r="B621" s="9" t="s">
        <v>61</v>
      </c>
      <c r="C621" s="9"/>
      <c r="D621" s="9"/>
      <c r="E621" s="10" t="s">
        <v>62</v>
      </c>
      <c r="F621" s="66">
        <f>F622</f>
        <v>3118.79513</v>
      </c>
      <c r="G621" s="66">
        <f>G622</f>
        <v>1907.4</v>
      </c>
      <c r="H621" s="66">
        <f>H622</f>
        <v>1907.4</v>
      </c>
    </row>
    <row r="622" spans="1:8" ht="39.75" customHeight="1" x14ac:dyDescent="0.2">
      <c r="A622" s="9" t="s">
        <v>506</v>
      </c>
      <c r="B622" s="9" t="s">
        <v>63</v>
      </c>
      <c r="C622" s="9" t="s">
        <v>219</v>
      </c>
      <c r="D622" s="9" t="s">
        <v>487</v>
      </c>
      <c r="E622" s="10" t="s">
        <v>65</v>
      </c>
      <c r="F622" s="77">
        <f>1907.4+895.99513+315.4</f>
        <v>3118.79513</v>
      </c>
      <c r="G622" s="66">
        <v>1907.4</v>
      </c>
      <c r="H622" s="66">
        <v>1907.4</v>
      </c>
    </row>
    <row r="623" spans="1:8" ht="24" customHeight="1" x14ac:dyDescent="0.2">
      <c r="A623" s="9" t="s">
        <v>506</v>
      </c>
      <c r="B623" s="9" t="s">
        <v>448</v>
      </c>
      <c r="C623" s="9"/>
      <c r="D623" s="9"/>
      <c r="E623" s="12" t="s">
        <v>449</v>
      </c>
      <c r="F623" s="66">
        <f>F624</f>
        <v>17</v>
      </c>
      <c r="G623" s="66">
        <f>G624</f>
        <v>17</v>
      </c>
      <c r="H623" s="66">
        <f>H624</f>
        <v>17</v>
      </c>
    </row>
    <row r="624" spans="1:8" ht="27.75" customHeight="1" x14ac:dyDescent="0.2">
      <c r="A624" s="9" t="s">
        <v>506</v>
      </c>
      <c r="B624" s="9" t="s">
        <v>450</v>
      </c>
      <c r="C624" s="9" t="s">
        <v>219</v>
      </c>
      <c r="D624" s="9" t="s">
        <v>487</v>
      </c>
      <c r="E624" s="12" t="s">
        <v>451</v>
      </c>
      <c r="F624" s="66">
        <v>17</v>
      </c>
      <c r="G624" s="66">
        <v>17</v>
      </c>
      <c r="H624" s="66">
        <v>17</v>
      </c>
    </row>
    <row r="625" spans="1:8" ht="27" customHeight="1" x14ac:dyDescent="0.2">
      <c r="A625" s="9" t="s">
        <v>508</v>
      </c>
      <c r="B625" s="9" t="s">
        <v>13</v>
      </c>
      <c r="C625" s="9"/>
      <c r="D625" s="9"/>
      <c r="E625" s="12" t="s">
        <v>509</v>
      </c>
      <c r="F625" s="66">
        <f t="shared" ref="F625:H626" si="118">F626</f>
        <v>200</v>
      </c>
      <c r="G625" s="66">
        <f t="shared" si="118"/>
        <v>200</v>
      </c>
      <c r="H625" s="66">
        <f t="shared" si="118"/>
        <v>200</v>
      </c>
    </row>
    <row r="626" spans="1:8" ht="38.1" customHeight="1" x14ac:dyDescent="0.2">
      <c r="A626" s="9" t="s">
        <v>508</v>
      </c>
      <c r="B626" s="9" t="s">
        <v>61</v>
      </c>
      <c r="C626" s="9"/>
      <c r="D626" s="9"/>
      <c r="E626" s="10" t="s">
        <v>62</v>
      </c>
      <c r="F626" s="66">
        <f t="shared" si="118"/>
        <v>200</v>
      </c>
      <c r="G626" s="66">
        <f t="shared" si="118"/>
        <v>200</v>
      </c>
      <c r="H626" s="66">
        <f t="shared" si="118"/>
        <v>200</v>
      </c>
    </row>
    <row r="627" spans="1:8" ht="39.75" customHeight="1" x14ac:dyDescent="0.2">
      <c r="A627" s="9" t="s">
        <v>508</v>
      </c>
      <c r="B627" s="9" t="s">
        <v>63</v>
      </c>
      <c r="C627" s="9" t="s">
        <v>219</v>
      </c>
      <c r="D627" s="9" t="s">
        <v>487</v>
      </c>
      <c r="E627" s="10" t="s">
        <v>65</v>
      </c>
      <c r="F627" s="66">
        <v>200</v>
      </c>
      <c r="G627" s="66">
        <v>200</v>
      </c>
      <c r="H627" s="66">
        <v>200</v>
      </c>
    </row>
    <row r="628" spans="1:8" ht="54.95" customHeight="1" x14ac:dyDescent="0.2">
      <c r="A628" s="9" t="s">
        <v>510</v>
      </c>
      <c r="B628" s="9" t="s">
        <v>13</v>
      </c>
      <c r="C628" s="9"/>
      <c r="D628" s="9"/>
      <c r="E628" s="43" t="s">
        <v>511</v>
      </c>
      <c r="F628" s="66">
        <f t="shared" ref="F628:H628" si="119">F629</f>
        <v>200</v>
      </c>
      <c r="G628" s="66">
        <f t="shared" si="119"/>
        <v>0</v>
      </c>
      <c r="H628" s="66">
        <f t="shared" si="119"/>
        <v>0</v>
      </c>
    </row>
    <row r="629" spans="1:8" ht="39.75" customHeight="1" x14ac:dyDescent="0.2">
      <c r="A629" s="9" t="s">
        <v>510</v>
      </c>
      <c r="B629" s="9" t="s">
        <v>61</v>
      </c>
      <c r="C629" s="9"/>
      <c r="D629" s="9"/>
      <c r="E629" s="10" t="s">
        <v>62</v>
      </c>
      <c r="F629" s="66">
        <f t="shared" ref="F629:H629" si="120">F630</f>
        <v>200</v>
      </c>
      <c r="G629" s="66">
        <f t="shared" si="120"/>
        <v>0</v>
      </c>
      <c r="H629" s="66">
        <f t="shared" si="120"/>
        <v>0</v>
      </c>
    </row>
    <row r="630" spans="1:8" ht="39.75" customHeight="1" x14ac:dyDescent="0.2">
      <c r="A630" s="9" t="s">
        <v>510</v>
      </c>
      <c r="B630" s="9" t="s">
        <v>63</v>
      </c>
      <c r="C630" s="9" t="s">
        <v>219</v>
      </c>
      <c r="D630" s="9" t="s">
        <v>487</v>
      </c>
      <c r="E630" s="10" t="s">
        <v>65</v>
      </c>
      <c r="F630" s="66">
        <v>200</v>
      </c>
      <c r="G630" s="66">
        <v>0</v>
      </c>
      <c r="H630" s="66">
        <v>0</v>
      </c>
    </row>
    <row r="631" spans="1:8" ht="66" customHeight="1" x14ac:dyDescent="0.2">
      <c r="A631" s="9" t="s">
        <v>510</v>
      </c>
      <c r="B631" s="9" t="s">
        <v>13</v>
      </c>
      <c r="C631" s="9"/>
      <c r="D631" s="9"/>
      <c r="E631" s="25" t="s">
        <v>512</v>
      </c>
      <c r="F631" s="66">
        <f>F632</f>
        <v>26.7</v>
      </c>
      <c r="G631" s="66">
        <f t="shared" ref="F631:H632" si="121">G632</f>
        <v>26.7</v>
      </c>
      <c r="H631" s="66">
        <f t="shared" si="121"/>
        <v>26.7</v>
      </c>
    </row>
    <row r="632" spans="1:8" ht="39" customHeight="1" x14ac:dyDescent="0.2">
      <c r="A632" s="9" t="s">
        <v>510</v>
      </c>
      <c r="B632" s="9" t="s">
        <v>61</v>
      </c>
      <c r="C632" s="9"/>
      <c r="D632" s="9"/>
      <c r="E632" s="10" t="s">
        <v>62</v>
      </c>
      <c r="F632" s="66">
        <f t="shared" si="121"/>
        <v>26.7</v>
      </c>
      <c r="G632" s="66">
        <f t="shared" si="121"/>
        <v>26.7</v>
      </c>
      <c r="H632" s="66">
        <f t="shared" si="121"/>
        <v>26.7</v>
      </c>
    </row>
    <row r="633" spans="1:8" ht="31.5" customHeight="1" x14ac:dyDescent="0.2">
      <c r="A633" s="9" t="s">
        <v>510</v>
      </c>
      <c r="B633" s="9" t="s">
        <v>63</v>
      </c>
      <c r="C633" s="9" t="s">
        <v>219</v>
      </c>
      <c r="D633" s="9" t="s">
        <v>487</v>
      </c>
      <c r="E633" s="10" t="s">
        <v>65</v>
      </c>
      <c r="F633" s="66">
        <v>26.7</v>
      </c>
      <c r="G633" s="66">
        <v>26.7</v>
      </c>
      <c r="H633" s="66">
        <v>26.7</v>
      </c>
    </row>
    <row r="634" spans="1:8" ht="33.950000000000003" customHeight="1" x14ac:dyDescent="0.2">
      <c r="A634" s="14" t="s">
        <v>513</v>
      </c>
      <c r="B634" s="14" t="s">
        <v>13</v>
      </c>
      <c r="C634" s="14"/>
      <c r="D634" s="14"/>
      <c r="E634" s="25" t="s">
        <v>514</v>
      </c>
      <c r="F634" s="66">
        <f t="shared" ref="F634:H635" si="122">F635</f>
        <v>8879.89</v>
      </c>
      <c r="G634" s="66">
        <f t="shared" si="122"/>
        <v>2100</v>
      </c>
      <c r="H634" s="66">
        <f t="shared" si="122"/>
        <v>2100</v>
      </c>
    </row>
    <row r="635" spans="1:8" ht="27.95" customHeight="1" x14ac:dyDescent="0.2">
      <c r="A635" s="14" t="s">
        <v>515</v>
      </c>
      <c r="B635" s="14" t="s">
        <v>13</v>
      </c>
      <c r="C635" s="14"/>
      <c r="D635" s="14"/>
      <c r="E635" s="10" t="s">
        <v>516</v>
      </c>
      <c r="F635" s="66">
        <f t="shared" si="122"/>
        <v>8879.89</v>
      </c>
      <c r="G635" s="66">
        <f t="shared" si="122"/>
        <v>2100</v>
      </c>
      <c r="H635" s="66">
        <f t="shared" si="122"/>
        <v>2100</v>
      </c>
    </row>
    <row r="636" spans="1:8" ht="39" customHeight="1" x14ac:dyDescent="0.2">
      <c r="A636" s="9" t="s">
        <v>515</v>
      </c>
      <c r="B636" s="9" t="s">
        <v>61</v>
      </c>
      <c r="C636" s="9"/>
      <c r="D636" s="9"/>
      <c r="E636" s="10" t="s">
        <v>62</v>
      </c>
      <c r="F636" s="66">
        <f>F637+F638</f>
        <v>8879.89</v>
      </c>
      <c r="G636" s="66">
        <f>G637+G638</f>
        <v>2100</v>
      </c>
      <c r="H636" s="66">
        <f>H637+H638</f>
        <v>2100</v>
      </c>
    </row>
    <row r="637" spans="1:8" ht="39" customHeight="1" x14ac:dyDescent="0.2">
      <c r="A637" s="9" t="s">
        <v>515</v>
      </c>
      <c r="B637" s="9" t="s">
        <v>63</v>
      </c>
      <c r="C637" s="9" t="s">
        <v>219</v>
      </c>
      <c r="D637" s="9" t="s">
        <v>166</v>
      </c>
      <c r="E637" s="10" t="s">
        <v>65</v>
      </c>
      <c r="F637" s="66">
        <v>100</v>
      </c>
      <c r="G637" s="66">
        <v>100</v>
      </c>
      <c r="H637" s="66">
        <v>100</v>
      </c>
    </row>
    <row r="638" spans="1:8" ht="38.25" customHeight="1" x14ac:dyDescent="0.2">
      <c r="A638" s="9" t="s">
        <v>515</v>
      </c>
      <c r="B638" s="9" t="s">
        <v>63</v>
      </c>
      <c r="C638" s="9" t="s">
        <v>219</v>
      </c>
      <c r="D638" s="9" t="s">
        <v>487</v>
      </c>
      <c r="E638" s="10" t="s">
        <v>65</v>
      </c>
      <c r="F638" s="77">
        <f>7400+77.8+1302.09</f>
        <v>8779.89</v>
      </c>
      <c r="G638" s="66">
        <v>2000</v>
      </c>
      <c r="H638" s="66">
        <v>2000</v>
      </c>
    </row>
    <row r="639" spans="1:8" ht="63" customHeight="1" x14ac:dyDescent="0.2">
      <c r="A639" s="9" t="s">
        <v>517</v>
      </c>
      <c r="B639" s="9" t="s">
        <v>13</v>
      </c>
      <c r="C639" s="9"/>
      <c r="D639" s="9"/>
      <c r="E639" s="12" t="s">
        <v>518</v>
      </c>
      <c r="F639" s="66">
        <f>F640+F643</f>
        <v>200</v>
      </c>
      <c r="G639" s="66">
        <f>G640+G643</f>
        <v>200</v>
      </c>
      <c r="H639" s="66">
        <f>H640+H643</f>
        <v>200</v>
      </c>
    </row>
    <row r="640" spans="1:8" ht="38.25" customHeight="1" x14ac:dyDescent="0.2">
      <c r="A640" s="9" t="s">
        <v>519</v>
      </c>
      <c r="B640" s="9" t="s">
        <v>13</v>
      </c>
      <c r="C640" s="9"/>
      <c r="D640" s="9"/>
      <c r="E640" s="10" t="s">
        <v>520</v>
      </c>
      <c r="F640" s="66">
        <f t="shared" ref="F640:H641" si="123">F641</f>
        <v>160</v>
      </c>
      <c r="G640" s="66">
        <f t="shared" si="123"/>
        <v>160</v>
      </c>
      <c r="H640" s="66">
        <f t="shared" si="123"/>
        <v>160</v>
      </c>
    </row>
    <row r="641" spans="1:8" ht="33.75" customHeight="1" x14ac:dyDescent="0.2">
      <c r="A641" s="9" t="s">
        <v>519</v>
      </c>
      <c r="B641" s="9" t="s">
        <v>61</v>
      </c>
      <c r="C641" s="9"/>
      <c r="D641" s="9"/>
      <c r="E641" s="10" t="s">
        <v>62</v>
      </c>
      <c r="F641" s="66">
        <f t="shared" si="123"/>
        <v>160</v>
      </c>
      <c r="G641" s="66">
        <f t="shared" si="123"/>
        <v>160</v>
      </c>
      <c r="H641" s="66">
        <f t="shared" si="123"/>
        <v>160</v>
      </c>
    </row>
    <row r="642" spans="1:8" ht="34.5" customHeight="1" x14ac:dyDescent="0.2">
      <c r="A642" s="9" t="s">
        <v>519</v>
      </c>
      <c r="B642" s="9" t="s">
        <v>63</v>
      </c>
      <c r="C642" s="9" t="s">
        <v>219</v>
      </c>
      <c r="D642" s="9" t="s">
        <v>521</v>
      </c>
      <c r="E642" s="10" t="s">
        <v>65</v>
      </c>
      <c r="F642" s="66">
        <v>160</v>
      </c>
      <c r="G642" s="66">
        <v>160</v>
      </c>
      <c r="H642" s="66">
        <v>160</v>
      </c>
    </row>
    <row r="643" spans="1:8" ht="66.75" customHeight="1" x14ac:dyDescent="0.2">
      <c r="A643" s="9" t="s">
        <v>522</v>
      </c>
      <c r="B643" s="9" t="s">
        <v>13</v>
      </c>
      <c r="C643" s="9"/>
      <c r="D643" s="9"/>
      <c r="E643" s="10" t="s">
        <v>523</v>
      </c>
      <c r="F643" s="66">
        <f t="shared" ref="F643:H644" si="124">F644</f>
        <v>40</v>
      </c>
      <c r="G643" s="66">
        <f t="shared" si="124"/>
        <v>40</v>
      </c>
      <c r="H643" s="66">
        <f t="shared" si="124"/>
        <v>40</v>
      </c>
    </row>
    <row r="644" spans="1:8" ht="37.5" customHeight="1" x14ac:dyDescent="0.2">
      <c r="A644" s="9" t="s">
        <v>522</v>
      </c>
      <c r="B644" s="9" t="s">
        <v>61</v>
      </c>
      <c r="C644" s="9"/>
      <c r="D644" s="9"/>
      <c r="E644" s="10" t="s">
        <v>62</v>
      </c>
      <c r="F644" s="66">
        <f t="shared" si="124"/>
        <v>40</v>
      </c>
      <c r="G644" s="66">
        <f t="shared" si="124"/>
        <v>40</v>
      </c>
      <c r="H644" s="66">
        <f t="shared" si="124"/>
        <v>40</v>
      </c>
    </row>
    <row r="645" spans="1:8" ht="36" customHeight="1" x14ac:dyDescent="0.2">
      <c r="A645" s="9" t="s">
        <v>522</v>
      </c>
      <c r="B645" s="9" t="s">
        <v>63</v>
      </c>
      <c r="C645" s="9" t="s">
        <v>219</v>
      </c>
      <c r="D645" s="9" t="s">
        <v>521</v>
      </c>
      <c r="E645" s="10" t="s">
        <v>65</v>
      </c>
      <c r="F645" s="66">
        <v>40</v>
      </c>
      <c r="G645" s="66">
        <v>40</v>
      </c>
      <c r="H645" s="66">
        <v>40</v>
      </c>
    </row>
    <row r="646" spans="1:8" ht="48.75" customHeight="1" x14ac:dyDescent="0.2">
      <c r="A646" s="9" t="s">
        <v>524</v>
      </c>
      <c r="B646" s="9" t="s">
        <v>13</v>
      </c>
      <c r="C646" s="9"/>
      <c r="D646" s="9"/>
      <c r="E646" s="10" t="s">
        <v>525</v>
      </c>
      <c r="F646" s="66">
        <f>F647+F650</f>
        <v>98266.77</v>
      </c>
      <c r="G646" s="66">
        <f>G647+G650</f>
        <v>98266.77</v>
      </c>
      <c r="H646" s="66">
        <f>H647+H650</f>
        <v>98266.77</v>
      </c>
    </row>
    <row r="647" spans="1:8" ht="38.1" customHeight="1" x14ac:dyDescent="0.2">
      <c r="A647" s="9" t="s">
        <v>526</v>
      </c>
      <c r="B647" s="9" t="s">
        <v>13</v>
      </c>
      <c r="C647" s="9"/>
      <c r="D647" s="9"/>
      <c r="E647" s="12" t="s">
        <v>527</v>
      </c>
      <c r="F647" s="66">
        <f>F649</f>
        <v>97284.1</v>
      </c>
      <c r="G647" s="66">
        <f>G649</f>
        <v>97284.1</v>
      </c>
      <c r="H647" s="66">
        <f>H649</f>
        <v>97284.1</v>
      </c>
    </row>
    <row r="648" spans="1:8" ht="69" customHeight="1" x14ac:dyDescent="0.2">
      <c r="A648" s="9" t="s">
        <v>526</v>
      </c>
      <c r="B648" s="9" t="s">
        <v>78</v>
      </c>
      <c r="C648" s="9"/>
      <c r="D648" s="9"/>
      <c r="E648" s="10" t="s">
        <v>79</v>
      </c>
      <c r="F648" s="66">
        <f>F649</f>
        <v>97284.1</v>
      </c>
      <c r="G648" s="66">
        <f>G649</f>
        <v>97284.1</v>
      </c>
      <c r="H648" s="66">
        <f>H649</f>
        <v>97284.1</v>
      </c>
    </row>
    <row r="649" spans="1:8" ht="25.5" customHeight="1" x14ac:dyDescent="0.2">
      <c r="A649" s="9" t="s">
        <v>526</v>
      </c>
      <c r="B649" s="9" t="s">
        <v>80</v>
      </c>
      <c r="C649" s="9" t="s">
        <v>219</v>
      </c>
      <c r="D649" s="9" t="s">
        <v>487</v>
      </c>
      <c r="E649" s="12" t="s">
        <v>82</v>
      </c>
      <c r="F649" s="77">
        <f>80452.1+16832</f>
        <v>97284.1</v>
      </c>
      <c r="G649" s="77">
        <f>80452.1+16832</f>
        <v>97284.1</v>
      </c>
      <c r="H649" s="77">
        <f>80452.1+16832</f>
        <v>97284.1</v>
      </c>
    </row>
    <row r="650" spans="1:8" ht="50.1" customHeight="1" x14ac:dyDescent="0.2">
      <c r="A650" s="9" t="s">
        <v>528</v>
      </c>
      <c r="B650" s="9" t="s">
        <v>13</v>
      </c>
      <c r="C650" s="9"/>
      <c r="D650" s="9"/>
      <c r="E650" s="10" t="s">
        <v>529</v>
      </c>
      <c r="F650" s="66">
        <f>F652</f>
        <v>982.67</v>
      </c>
      <c r="G650" s="66">
        <f>G652</f>
        <v>982.67</v>
      </c>
      <c r="H650" s="66">
        <f>H652</f>
        <v>982.67</v>
      </c>
    </row>
    <row r="651" spans="1:8" ht="69" customHeight="1" x14ac:dyDescent="0.2">
      <c r="A651" s="9" t="s">
        <v>528</v>
      </c>
      <c r="B651" s="9" t="s">
        <v>78</v>
      </c>
      <c r="C651" s="9"/>
      <c r="D651" s="9"/>
      <c r="E651" s="10" t="s">
        <v>79</v>
      </c>
      <c r="F651" s="66">
        <f>F652</f>
        <v>982.67</v>
      </c>
      <c r="G651" s="66">
        <f>G652</f>
        <v>982.67</v>
      </c>
      <c r="H651" s="66">
        <f>H652</f>
        <v>982.67</v>
      </c>
    </row>
    <row r="652" spans="1:8" ht="21.75" customHeight="1" x14ac:dyDescent="0.2">
      <c r="A652" s="9" t="s">
        <v>528</v>
      </c>
      <c r="B652" s="9" t="s">
        <v>80</v>
      </c>
      <c r="C652" s="9" t="s">
        <v>219</v>
      </c>
      <c r="D652" s="9" t="s">
        <v>487</v>
      </c>
      <c r="E652" s="12" t="s">
        <v>82</v>
      </c>
      <c r="F652" s="66">
        <f>877.01-64.36+170.02</f>
        <v>982.67</v>
      </c>
      <c r="G652" s="66">
        <f>972.06-159.41+170.02</f>
        <v>982.67</v>
      </c>
      <c r="H652" s="66">
        <f>972.06-159.41+170.02</f>
        <v>982.67</v>
      </c>
    </row>
    <row r="653" spans="1:8" ht="39.75" customHeight="1" x14ac:dyDescent="0.2">
      <c r="A653" s="9" t="s">
        <v>530</v>
      </c>
      <c r="B653" s="9" t="s">
        <v>13</v>
      </c>
      <c r="C653" s="9"/>
      <c r="D653" s="9"/>
      <c r="E653" s="10" t="s">
        <v>531</v>
      </c>
      <c r="F653" s="66">
        <f>F654+F657+F660</f>
        <v>9746.0040000000008</v>
      </c>
      <c r="G653" s="66">
        <f>G654+G657+G660</f>
        <v>1550.78</v>
      </c>
      <c r="H653" s="66">
        <f>H654+H657+H660</f>
        <v>1550.78</v>
      </c>
    </row>
    <row r="654" spans="1:8" ht="27" customHeight="1" x14ac:dyDescent="0.2">
      <c r="A654" s="15" t="s">
        <v>532</v>
      </c>
      <c r="B654" s="15" t="s">
        <v>13</v>
      </c>
      <c r="C654" s="9"/>
      <c r="D654" s="9"/>
      <c r="E654" s="44" t="s">
        <v>533</v>
      </c>
      <c r="F654" s="66">
        <f t="shared" ref="F654:H655" si="125">F655</f>
        <v>3195.2240000000002</v>
      </c>
      <c r="G654" s="66">
        <f t="shared" si="125"/>
        <v>0</v>
      </c>
      <c r="H654" s="66">
        <f t="shared" si="125"/>
        <v>0</v>
      </c>
    </row>
    <row r="655" spans="1:8" ht="39.75" customHeight="1" x14ac:dyDescent="0.2">
      <c r="A655" s="15" t="s">
        <v>532</v>
      </c>
      <c r="B655" s="15" t="s">
        <v>61</v>
      </c>
      <c r="C655" s="9"/>
      <c r="D655" s="9"/>
      <c r="E655" s="16" t="s">
        <v>62</v>
      </c>
      <c r="F655" s="66">
        <f t="shared" si="125"/>
        <v>3195.2240000000002</v>
      </c>
      <c r="G655" s="66">
        <f t="shared" si="125"/>
        <v>0</v>
      </c>
      <c r="H655" s="66">
        <f t="shared" si="125"/>
        <v>0</v>
      </c>
    </row>
    <row r="656" spans="1:8" ht="39.75" customHeight="1" x14ac:dyDescent="0.2">
      <c r="A656" s="15" t="s">
        <v>532</v>
      </c>
      <c r="B656" s="15" t="s">
        <v>63</v>
      </c>
      <c r="C656" s="9" t="s">
        <v>219</v>
      </c>
      <c r="D656" s="9" t="s">
        <v>401</v>
      </c>
      <c r="E656" s="16" t="s">
        <v>65</v>
      </c>
      <c r="F656" s="66">
        <v>3195.2240000000002</v>
      </c>
      <c r="G656" s="66">
        <v>0</v>
      </c>
      <c r="H656" s="66">
        <v>0</v>
      </c>
    </row>
    <row r="657" spans="1:8" ht="54" customHeight="1" x14ac:dyDescent="0.2">
      <c r="A657" s="9" t="s">
        <v>534</v>
      </c>
      <c r="B657" s="9" t="s">
        <v>13</v>
      </c>
      <c r="C657" s="9"/>
      <c r="D657" s="9"/>
      <c r="E657" s="12" t="s">
        <v>535</v>
      </c>
      <c r="F657" s="66">
        <f t="shared" ref="F657:H658" si="126">F658</f>
        <v>5282</v>
      </c>
      <c r="G657" s="66">
        <f t="shared" si="126"/>
        <v>0</v>
      </c>
      <c r="H657" s="66">
        <f t="shared" si="126"/>
        <v>0</v>
      </c>
    </row>
    <row r="658" spans="1:8" ht="39.75" customHeight="1" x14ac:dyDescent="0.2">
      <c r="A658" s="9" t="s">
        <v>534</v>
      </c>
      <c r="B658" s="9" t="s">
        <v>61</v>
      </c>
      <c r="C658" s="9"/>
      <c r="D658" s="9"/>
      <c r="E658" s="10" t="s">
        <v>62</v>
      </c>
      <c r="F658" s="66">
        <f t="shared" si="126"/>
        <v>5282</v>
      </c>
      <c r="G658" s="66">
        <f t="shared" si="126"/>
        <v>0</v>
      </c>
      <c r="H658" s="66">
        <f t="shared" si="126"/>
        <v>0</v>
      </c>
    </row>
    <row r="659" spans="1:8" ht="39.75" customHeight="1" x14ac:dyDescent="0.2">
      <c r="A659" s="9" t="s">
        <v>534</v>
      </c>
      <c r="B659" s="9" t="s">
        <v>63</v>
      </c>
      <c r="C659" s="9" t="s">
        <v>219</v>
      </c>
      <c r="D659" s="9" t="s">
        <v>401</v>
      </c>
      <c r="E659" s="10" t="s">
        <v>65</v>
      </c>
      <c r="F659" s="77">
        <f>5000+200+82</f>
        <v>5282</v>
      </c>
      <c r="G659" s="66">
        <v>0</v>
      </c>
      <c r="H659" s="66">
        <v>0</v>
      </c>
    </row>
    <row r="660" spans="1:8" ht="36" customHeight="1" x14ac:dyDescent="0.2">
      <c r="A660" s="9" t="s">
        <v>536</v>
      </c>
      <c r="B660" s="9" t="s">
        <v>13</v>
      </c>
      <c r="C660" s="9"/>
      <c r="D660" s="9"/>
      <c r="E660" s="41" t="s">
        <v>537</v>
      </c>
      <c r="F660" s="66">
        <f t="shared" ref="F660:H661" si="127">F661</f>
        <v>1268.78</v>
      </c>
      <c r="G660" s="66">
        <f t="shared" si="127"/>
        <v>1550.78</v>
      </c>
      <c r="H660" s="66">
        <f t="shared" si="127"/>
        <v>1550.78</v>
      </c>
    </row>
    <row r="661" spans="1:8" ht="38.25" customHeight="1" x14ac:dyDescent="0.2">
      <c r="A661" s="9" t="s">
        <v>536</v>
      </c>
      <c r="B661" s="9" t="s">
        <v>61</v>
      </c>
      <c r="C661" s="9"/>
      <c r="D661" s="9"/>
      <c r="E661" s="10" t="s">
        <v>62</v>
      </c>
      <c r="F661" s="66">
        <f t="shared" si="127"/>
        <v>1268.78</v>
      </c>
      <c r="G661" s="66">
        <f t="shared" si="127"/>
        <v>1550.78</v>
      </c>
      <c r="H661" s="66">
        <f t="shared" si="127"/>
        <v>1550.78</v>
      </c>
    </row>
    <row r="662" spans="1:8" ht="38.1" customHeight="1" x14ac:dyDescent="0.2">
      <c r="A662" s="9" t="s">
        <v>536</v>
      </c>
      <c r="B662" s="9" t="s">
        <v>63</v>
      </c>
      <c r="C662" s="9" t="s">
        <v>219</v>
      </c>
      <c r="D662" s="9" t="s">
        <v>401</v>
      </c>
      <c r="E662" s="10" t="s">
        <v>65</v>
      </c>
      <c r="F662" s="77">
        <f>1550.78-200-82</f>
        <v>1268.78</v>
      </c>
      <c r="G662" s="66">
        <v>1550.78</v>
      </c>
      <c r="H662" s="66">
        <v>1550.78</v>
      </c>
    </row>
    <row r="663" spans="1:8" ht="54.95" customHeight="1" x14ac:dyDescent="0.2">
      <c r="A663" s="9" t="s">
        <v>538</v>
      </c>
      <c r="B663" s="9" t="s">
        <v>13</v>
      </c>
      <c r="C663" s="9"/>
      <c r="D663" s="9"/>
      <c r="E663" s="10" t="s">
        <v>539</v>
      </c>
      <c r="F663" s="66">
        <f>F664+F670</f>
        <v>13238.619999999999</v>
      </c>
      <c r="G663" s="66">
        <f>G664+G670</f>
        <v>11605.4</v>
      </c>
      <c r="H663" s="66">
        <f>H664+H670</f>
        <v>11605.4</v>
      </c>
    </row>
    <row r="664" spans="1:8" ht="71.099999999999994" customHeight="1" x14ac:dyDescent="0.2">
      <c r="A664" s="9" t="s">
        <v>540</v>
      </c>
      <c r="B664" s="9" t="s">
        <v>13</v>
      </c>
      <c r="C664" s="9"/>
      <c r="D664" s="9"/>
      <c r="E664" s="12" t="s">
        <v>541</v>
      </c>
      <c r="F664" s="66">
        <f>F665</f>
        <v>9205.4</v>
      </c>
      <c r="G664" s="66">
        <f>G665</f>
        <v>8905.4</v>
      </c>
      <c r="H664" s="66">
        <f>H665</f>
        <v>8905.4</v>
      </c>
    </row>
    <row r="665" spans="1:8" ht="34.5" customHeight="1" x14ac:dyDescent="0.2">
      <c r="A665" s="9" t="s">
        <v>542</v>
      </c>
      <c r="B665" s="9" t="s">
        <v>13</v>
      </c>
      <c r="C665" s="9"/>
      <c r="D665" s="9"/>
      <c r="E665" s="10" t="s">
        <v>849</v>
      </c>
      <c r="F665" s="66">
        <f>F666+F668</f>
        <v>9205.4</v>
      </c>
      <c r="G665" s="66">
        <f>G668</f>
        <v>8905.4</v>
      </c>
      <c r="H665" s="66">
        <f>H668</f>
        <v>8905.4</v>
      </c>
    </row>
    <row r="666" spans="1:8" ht="36" customHeight="1" x14ac:dyDescent="0.2">
      <c r="A666" s="78" t="s">
        <v>542</v>
      </c>
      <c r="B666" s="78" t="s">
        <v>61</v>
      </c>
      <c r="C666" s="64"/>
      <c r="D666" s="64"/>
      <c r="E666" s="80" t="s">
        <v>62</v>
      </c>
      <c r="F666" s="77">
        <f t="shared" ref="F666:H666" si="128">F667</f>
        <v>300</v>
      </c>
      <c r="G666" s="77">
        <f t="shared" si="128"/>
        <v>0</v>
      </c>
      <c r="H666" s="77">
        <f t="shared" si="128"/>
        <v>0</v>
      </c>
    </row>
    <row r="667" spans="1:8" ht="42.75" customHeight="1" x14ac:dyDescent="0.2">
      <c r="A667" s="78" t="s">
        <v>542</v>
      </c>
      <c r="B667" s="78" t="s">
        <v>63</v>
      </c>
      <c r="C667" s="9" t="s">
        <v>219</v>
      </c>
      <c r="D667" s="9" t="s">
        <v>543</v>
      </c>
      <c r="E667" s="80" t="s">
        <v>65</v>
      </c>
      <c r="F667" s="77">
        <v>300</v>
      </c>
      <c r="G667" s="77">
        <v>0</v>
      </c>
      <c r="H667" s="77">
        <v>0</v>
      </c>
    </row>
    <row r="668" spans="1:8" ht="36" customHeight="1" x14ac:dyDescent="0.2">
      <c r="A668" s="9" t="s">
        <v>542</v>
      </c>
      <c r="B668" s="9" t="s">
        <v>21</v>
      </c>
      <c r="C668" s="9"/>
      <c r="D668" s="9"/>
      <c r="E668" s="12" t="s">
        <v>22</v>
      </c>
      <c r="F668" s="66">
        <f t="shared" ref="F668:H668" si="129">F669</f>
        <v>8905.4</v>
      </c>
      <c r="G668" s="66">
        <f t="shared" si="129"/>
        <v>8905.4</v>
      </c>
      <c r="H668" s="66">
        <f t="shared" si="129"/>
        <v>8905.4</v>
      </c>
    </row>
    <row r="669" spans="1:8" ht="29.25" customHeight="1" x14ac:dyDescent="0.2">
      <c r="A669" s="9" t="s">
        <v>542</v>
      </c>
      <c r="B669" s="9" t="s">
        <v>23</v>
      </c>
      <c r="C669" s="9" t="s">
        <v>219</v>
      </c>
      <c r="D669" s="9" t="s">
        <v>543</v>
      </c>
      <c r="E669" s="12" t="s">
        <v>26</v>
      </c>
      <c r="F669" s="66">
        <v>8905.4</v>
      </c>
      <c r="G669" s="66">
        <v>8905.4</v>
      </c>
      <c r="H669" s="66">
        <v>8905.4</v>
      </c>
    </row>
    <row r="670" spans="1:8" ht="33" customHeight="1" x14ac:dyDescent="0.2">
      <c r="A670" s="9" t="s">
        <v>544</v>
      </c>
      <c r="B670" s="9" t="s">
        <v>13</v>
      </c>
      <c r="C670" s="9"/>
      <c r="D670" s="9"/>
      <c r="E670" s="12" t="s">
        <v>545</v>
      </c>
      <c r="F670" s="66">
        <f>F671+F674</f>
        <v>4033.2200000000003</v>
      </c>
      <c r="G670" s="66">
        <f>G671+G674</f>
        <v>2700</v>
      </c>
      <c r="H670" s="66">
        <f>H671+H674</f>
        <v>2700</v>
      </c>
    </row>
    <row r="671" spans="1:8" ht="33.75" customHeight="1" x14ac:dyDescent="0.2">
      <c r="A671" s="9" t="s">
        <v>546</v>
      </c>
      <c r="B671" s="9" t="s">
        <v>13</v>
      </c>
      <c r="C671" s="9"/>
      <c r="D671" s="9"/>
      <c r="E671" s="10" t="s">
        <v>547</v>
      </c>
      <c r="F671" s="66">
        <f t="shared" ref="F671:H672" si="130">F672</f>
        <v>1873.22</v>
      </c>
      <c r="G671" s="66">
        <f t="shared" si="130"/>
        <v>1200</v>
      </c>
      <c r="H671" s="66">
        <f t="shared" si="130"/>
        <v>1200</v>
      </c>
    </row>
    <row r="672" spans="1:8" ht="36.950000000000003" customHeight="1" x14ac:dyDescent="0.2">
      <c r="A672" s="9" t="s">
        <v>546</v>
      </c>
      <c r="B672" s="9" t="s">
        <v>61</v>
      </c>
      <c r="C672" s="9"/>
      <c r="D672" s="9"/>
      <c r="E672" s="10" t="s">
        <v>62</v>
      </c>
      <c r="F672" s="66">
        <f t="shared" si="130"/>
        <v>1873.22</v>
      </c>
      <c r="G672" s="66">
        <f t="shared" si="130"/>
        <v>1200</v>
      </c>
      <c r="H672" s="66">
        <f t="shared" si="130"/>
        <v>1200</v>
      </c>
    </row>
    <row r="673" spans="1:8" ht="36" customHeight="1" x14ac:dyDescent="0.2">
      <c r="A673" s="9" t="s">
        <v>546</v>
      </c>
      <c r="B673" s="9" t="s">
        <v>63</v>
      </c>
      <c r="C673" s="9" t="s">
        <v>219</v>
      </c>
      <c r="D673" s="9" t="s">
        <v>548</v>
      </c>
      <c r="E673" s="10" t="s">
        <v>65</v>
      </c>
      <c r="F673" s="77">
        <f>1200+220+453.22</f>
        <v>1873.22</v>
      </c>
      <c r="G673" s="66">
        <v>1200</v>
      </c>
      <c r="H673" s="66">
        <v>1200</v>
      </c>
    </row>
    <row r="674" spans="1:8" ht="30.95" customHeight="1" x14ac:dyDescent="0.2">
      <c r="A674" s="9" t="s">
        <v>549</v>
      </c>
      <c r="B674" s="9" t="s">
        <v>13</v>
      </c>
      <c r="C674" s="9"/>
      <c r="D674" s="9"/>
      <c r="E674" s="45" t="s">
        <v>550</v>
      </c>
      <c r="F674" s="66">
        <f t="shared" ref="F674:H675" si="131">F675</f>
        <v>2160</v>
      </c>
      <c r="G674" s="66">
        <f t="shared" si="131"/>
        <v>1500</v>
      </c>
      <c r="H674" s="66">
        <f t="shared" si="131"/>
        <v>1500</v>
      </c>
    </row>
    <row r="675" spans="1:8" ht="36.75" customHeight="1" x14ac:dyDescent="0.2">
      <c r="A675" s="9" t="s">
        <v>549</v>
      </c>
      <c r="B675" s="9" t="s">
        <v>61</v>
      </c>
      <c r="C675" s="9"/>
      <c r="D675" s="9"/>
      <c r="E675" s="10" t="s">
        <v>62</v>
      </c>
      <c r="F675" s="66">
        <f t="shared" si="131"/>
        <v>2160</v>
      </c>
      <c r="G675" s="66">
        <f t="shared" si="131"/>
        <v>1500</v>
      </c>
      <c r="H675" s="66">
        <f t="shared" si="131"/>
        <v>1500</v>
      </c>
    </row>
    <row r="676" spans="1:8" ht="36.950000000000003" customHeight="1" x14ac:dyDescent="0.2">
      <c r="A676" s="9" t="s">
        <v>549</v>
      </c>
      <c r="B676" s="9" t="s">
        <v>63</v>
      </c>
      <c r="C676" s="9" t="s">
        <v>219</v>
      </c>
      <c r="D676" s="9" t="s">
        <v>548</v>
      </c>
      <c r="E676" s="10" t="s">
        <v>65</v>
      </c>
      <c r="F676" s="77">
        <f>8000-300-220-5320</f>
        <v>2160</v>
      </c>
      <c r="G676" s="66">
        <v>1500</v>
      </c>
      <c r="H676" s="66">
        <v>1500</v>
      </c>
    </row>
    <row r="677" spans="1:8" ht="38.25" customHeight="1" x14ac:dyDescent="0.2">
      <c r="A677" s="9" t="s">
        <v>551</v>
      </c>
      <c r="B677" s="9" t="s">
        <v>13</v>
      </c>
      <c r="C677" s="9"/>
      <c r="D677" s="9"/>
      <c r="E677" s="10" t="s">
        <v>552</v>
      </c>
      <c r="F677" s="66">
        <f>F678+F698</f>
        <v>14491</v>
      </c>
      <c r="G677" s="66">
        <f>G678+G698</f>
        <v>14328.3</v>
      </c>
      <c r="H677" s="66">
        <f>H678+H698</f>
        <v>14328.3</v>
      </c>
    </row>
    <row r="678" spans="1:8" ht="33" customHeight="1" x14ac:dyDescent="0.2">
      <c r="A678" s="9" t="s">
        <v>553</v>
      </c>
      <c r="B678" s="9" t="s">
        <v>13</v>
      </c>
      <c r="C678" s="9"/>
      <c r="D678" s="9"/>
      <c r="E678" s="12" t="s">
        <v>554</v>
      </c>
      <c r="F678" s="66">
        <f>F679+F682+F685+F692+F695</f>
        <v>14459.84</v>
      </c>
      <c r="G678" s="66">
        <f t="shared" ref="G678:H678" si="132">G679+G685+G692+G695</f>
        <v>14312.3</v>
      </c>
      <c r="H678" s="66">
        <f t="shared" si="132"/>
        <v>14312.3</v>
      </c>
    </row>
    <row r="679" spans="1:8" ht="45.75" customHeight="1" x14ac:dyDescent="0.2">
      <c r="A679" s="9" t="s">
        <v>555</v>
      </c>
      <c r="B679" s="9" t="s">
        <v>13</v>
      </c>
      <c r="C679" s="9"/>
      <c r="D679" s="9"/>
      <c r="E679" s="10" t="s">
        <v>196</v>
      </c>
      <c r="F679" s="66">
        <f>F681</f>
        <v>5645.7000000000007</v>
      </c>
      <c r="G679" s="66">
        <f>G681</f>
        <v>5645.7000000000007</v>
      </c>
      <c r="H679" s="66">
        <f>H681</f>
        <v>5645.7000000000007</v>
      </c>
    </row>
    <row r="680" spans="1:8" ht="66.95" customHeight="1" x14ac:dyDescent="0.2">
      <c r="A680" s="9" t="s">
        <v>555</v>
      </c>
      <c r="B680" s="9" t="s">
        <v>78</v>
      </c>
      <c r="C680" s="9"/>
      <c r="D680" s="9"/>
      <c r="E680" s="10" t="s">
        <v>79</v>
      </c>
      <c r="F680" s="66">
        <f>F681</f>
        <v>5645.7000000000007</v>
      </c>
      <c r="G680" s="66">
        <f>G681</f>
        <v>5645.7000000000007</v>
      </c>
      <c r="H680" s="66">
        <f>H681</f>
        <v>5645.7000000000007</v>
      </c>
    </row>
    <row r="681" spans="1:8" ht="24" customHeight="1" x14ac:dyDescent="0.2">
      <c r="A681" s="9" t="s">
        <v>555</v>
      </c>
      <c r="B681" s="9" t="s">
        <v>80</v>
      </c>
      <c r="C681" s="9" t="s">
        <v>219</v>
      </c>
      <c r="D681" s="9" t="s">
        <v>197</v>
      </c>
      <c r="E681" s="12" t="s">
        <v>82</v>
      </c>
      <c r="F681" s="89">
        <f>3371.3+2274.4</f>
        <v>5645.7000000000007</v>
      </c>
      <c r="G681" s="89">
        <f>3371.3+2274.4</f>
        <v>5645.7000000000007</v>
      </c>
      <c r="H681" s="89">
        <f>3371.3+2274.4</f>
        <v>5645.7000000000007</v>
      </c>
    </row>
    <row r="682" spans="1:8" ht="42" customHeight="1" x14ac:dyDescent="0.2">
      <c r="A682" s="78" t="s">
        <v>871</v>
      </c>
      <c r="B682" s="78" t="s">
        <v>13</v>
      </c>
      <c r="C682" s="64"/>
      <c r="D682" s="64"/>
      <c r="E682" s="91" t="s">
        <v>863</v>
      </c>
      <c r="F682" s="86">
        <f>F684</f>
        <v>66.8</v>
      </c>
      <c r="G682" s="77">
        <f>G684</f>
        <v>0</v>
      </c>
      <c r="H682" s="77">
        <f>H684</f>
        <v>0</v>
      </c>
    </row>
    <row r="683" spans="1:8" ht="68.25" customHeight="1" x14ac:dyDescent="0.2">
      <c r="A683" s="78" t="s">
        <v>871</v>
      </c>
      <c r="B683" s="78" t="s">
        <v>78</v>
      </c>
      <c r="C683" s="64"/>
      <c r="D683" s="64"/>
      <c r="E683" s="85" t="s">
        <v>79</v>
      </c>
      <c r="F683" s="86">
        <f>F684</f>
        <v>66.8</v>
      </c>
      <c r="G683" s="77">
        <f>G684</f>
        <v>0</v>
      </c>
      <c r="H683" s="77">
        <f>H684</f>
        <v>0</v>
      </c>
    </row>
    <row r="684" spans="1:8" ht="24" customHeight="1" x14ac:dyDescent="0.2">
      <c r="A684" s="78" t="s">
        <v>871</v>
      </c>
      <c r="B684" s="78" t="s">
        <v>80</v>
      </c>
      <c r="C684" s="9" t="s">
        <v>219</v>
      </c>
      <c r="D684" s="9" t="s">
        <v>487</v>
      </c>
      <c r="E684" s="92" t="s">
        <v>82</v>
      </c>
      <c r="F684" s="88">
        <v>66.8</v>
      </c>
      <c r="G684" s="89">
        <v>0</v>
      </c>
      <c r="H684" s="89">
        <v>0</v>
      </c>
    </row>
    <row r="685" spans="1:8" ht="36.75" customHeight="1" x14ac:dyDescent="0.2">
      <c r="A685" s="9" t="s">
        <v>556</v>
      </c>
      <c r="B685" s="9" t="s">
        <v>13</v>
      </c>
      <c r="C685" s="9"/>
      <c r="D685" s="9"/>
      <c r="E685" s="10" t="s">
        <v>554</v>
      </c>
      <c r="F685" s="66">
        <f>F687+F689+F691</f>
        <v>8689.7129999999997</v>
      </c>
      <c r="G685" s="66">
        <f>G687+G689+G691</f>
        <v>8609.5729999999985</v>
      </c>
      <c r="H685" s="66">
        <f>H687+H689+H691</f>
        <v>8609.5729999999985</v>
      </c>
    </row>
    <row r="686" spans="1:8" ht="69" customHeight="1" x14ac:dyDescent="0.2">
      <c r="A686" s="9" t="s">
        <v>556</v>
      </c>
      <c r="B686" s="9" t="s">
        <v>78</v>
      </c>
      <c r="C686" s="9"/>
      <c r="D686" s="9"/>
      <c r="E686" s="10" t="s">
        <v>79</v>
      </c>
      <c r="F686" s="66">
        <f t="shared" ref="F686:F690" si="133">F687</f>
        <v>6923.5729999999994</v>
      </c>
      <c r="G686" s="66">
        <f t="shared" ref="G686:G690" si="134">G687</f>
        <v>6928.2729999999992</v>
      </c>
      <c r="H686" s="66">
        <f t="shared" ref="H686:H690" si="135">H687</f>
        <v>6928.2729999999992</v>
      </c>
    </row>
    <row r="687" spans="1:8" ht="22.5" customHeight="1" x14ac:dyDescent="0.2">
      <c r="A687" s="9" t="s">
        <v>556</v>
      </c>
      <c r="B687" s="9" t="s">
        <v>80</v>
      </c>
      <c r="C687" s="9" t="s">
        <v>219</v>
      </c>
      <c r="D687" s="9" t="s">
        <v>197</v>
      </c>
      <c r="E687" s="12" t="s">
        <v>82</v>
      </c>
      <c r="F687" s="77">
        <f>6981.2-38.6-18.427-0.6</f>
        <v>6923.5729999999994</v>
      </c>
      <c r="G687" s="77">
        <f>6981.2-38.6-14.327</f>
        <v>6928.2729999999992</v>
      </c>
      <c r="H687" s="77">
        <f>6981.2-38.6-14.327</f>
        <v>6928.2729999999992</v>
      </c>
    </row>
    <row r="688" spans="1:8" ht="39" customHeight="1" x14ac:dyDescent="0.2">
      <c r="A688" s="9" t="s">
        <v>556</v>
      </c>
      <c r="B688" s="9" t="s">
        <v>61</v>
      </c>
      <c r="C688" s="9"/>
      <c r="D688" s="9"/>
      <c r="E688" s="10" t="s">
        <v>62</v>
      </c>
      <c r="F688" s="66">
        <f t="shared" si="133"/>
        <v>1716.1399999999999</v>
      </c>
      <c r="G688" s="66">
        <f t="shared" si="134"/>
        <v>1681.3</v>
      </c>
      <c r="H688" s="66">
        <f t="shared" si="135"/>
        <v>1681.3</v>
      </c>
    </row>
    <row r="689" spans="1:8" ht="34.5" customHeight="1" x14ac:dyDescent="0.2">
      <c r="A689" s="15" t="s">
        <v>556</v>
      </c>
      <c r="B689" s="15" t="s">
        <v>63</v>
      </c>
      <c r="C689" s="9" t="s">
        <v>219</v>
      </c>
      <c r="D689" s="9" t="s">
        <v>197</v>
      </c>
      <c r="E689" s="22" t="s">
        <v>65</v>
      </c>
      <c r="F689" s="66">
        <f>1681.3+100-15.16-50</f>
        <v>1716.1399999999999</v>
      </c>
      <c r="G689" s="66">
        <v>1681.3</v>
      </c>
      <c r="H689" s="66">
        <v>1681.3</v>
      </c>
    </row>
    <row r="690" spans="1:8" ht="27" customHeight="1" x14ac:dyDescent="0.2">
      <c r="A690" s="15" t="s">
        <v>556</v>
      </c>
      <c r="B690" s="15" t="s">
        <v>448</v>
      </c>
      <c r="C690" s="9"/>
      <c r="D690" s="9"/>
      <c r="E690" s="22" t="s">
        <v>449</v>
      </c>
      <c r="F690" s="66">
        <f t="shared" si="133"/>
        <v>50</v>
      </c>
      <c r="G690" s="66">
        <f t="shared" si="134"/>
        <v>0</v>
      </c>
      <c r="H690" s="66">
        <f t="shared" si="135"/>
        <v>0</v>
      </c>
    </row>
    <row r="691" spans="1:8" ht="27" customHeight="1" x14ac:dyDescent="0.2">
      <c r="A691" s="15" t="s">
        <v>556</v>
      </c>
      <c r="B691" s="15" t="s">
        <v>450</v>
      </c>
      <c r="C691" s="9" t="s">
        <v>219</v>
      </c>
      <c r="D691" s="9" t="s">
        <v>197</v>
      </c>
      <c r="E691" s="21" t="s">
        <v>451</v>
      </c>
      <c r="F691" s="66">
        <v>50</v>
      </c>
      <c r="G691" s="66">
        <v>0</v>
      </c>
      <c r="H691" s="66">
        <v>0</v>
      </c>
    </row>
    <row r="692" spans="1:8" ht="53.25" customHeight="1" x14ac:dyDescent="0.2">
      <c r="A692" s="9" t="s">
        <v>557</v>
      </c>
      <c r="B692" s="9" t="s">
        <v>13</v>
      </c>
      <c r="C692" s="9"/>
      <c r="D692" s="9"/>
      <c r="E692" s="10" t="s">
        <v>558</v>
      </c>
      <c r="F692" s="66">
        <f>F694</f>
        <v>57.027000000000001</v>
      </c>
      <c r="G692" s="66">
        <f>G694</f>
        <v>57.027000000000001</v>
      </c>
      <c r="H692" s="66">
        <f>H694</f>
        <v>57.027000000000001</v>
      </c>
    </row>
    <row r="693" spans="1:8" ht="68.25" customHeight="1" x14ac:dyDescent="0.2">
      <c r="A693" s="9" t="s">
        <v>557</v>
      </c>
      <c r="B693" s="9" t="s">
        <v>78</v>
      </c>
      <c r="C693" s="9"/>
      <c r="D693" s="9"/>
      <c r="E693" s="10" t="s">
        <v>79</v>
      </c>
      <c r="F693" s="66">
        <f>F694</f>
        <v>57.027000000000001</v>
      </c>
      <c r="G693" s="66">
        <f>G694</f>
        <v>57.027000000000001</v>
      </c>
      <c r="H693" s="66">
        <f>H694</f>
        <v>57.027000000000001</v>
      </c>
    </row>
    <row r="694" spans="1:8" ht="25.5" customHeight="1" x14ac:dyDescent="0.2">
      <c r="A694" s="9" t="s">
        <v>557</v>
      </c>
      <c r="B694" s="9" t="s">
        <v>80</v>
      </c>
      <c r="C694" s="9" t="s">
        <v>219</v>
      </c>
      <c r="D694" s="9" t="s">
        <v>197</v>
      </c>
      <c r="E694" s="12" t="s">
        <v>82</v>
      </c>
      <c r="F694" s="77">
        <f>38.6+18.427</f>
        <v>57.027000000000001</v>
      </c>
      <c r="G694" s="77">
        <f>42.7+14.327</f>
        <v>57.027000000000001</v>
      </c>
      <c r="H694" s="77">
        <f>42.7+14.327</f>
        <v>57.027000000000001</v>
      </c>
    </row>
    <row r="695" spans="1:8" ht="54" customHeight="1" x14ac:dyDescent="0.2">
      <c r="A695" s="78" t="s">
        <v>862</v>
      </c>
      <c r="B695" s="78" t="s">
        <v>13</v>
      </c>
      <c r="C695" s="64"/>
      <c r="D695" s="64"/>
      <c r="E695" s="87" t="s">
        <v>864</v>
      </c>
      <c r="F695" s="86">
        <f>F697</f>
        <v>0.6</v>
      </c>
      <c r="G695" s="77">
        <f>G697</f>
        <v>0</v>
      </c>
      <c r="H695" s="77">
        <f>H697</f>
        <v>0</v>
      </c>
    </row>
    <row r="696" spans="1:8" ht="63" customHeight="1" x14ac:dyDescent="0.2">
      <c r="A696" s="78" t="s">
        <v>862</v>
      </c>
      <c r="B696" s="78" t="s">
        <v>78</v>
      </c>
      <c r="C696" s="64"/>
      <c r="D696" s="64"/>
      <c r="E696" s="85" t="s">
        <v>79</v>
      </c>
      <c r="F696" s="86">
        <f>F697</f>
        <v>0.6</v>
      </c>
      <c r="G696" s="77">
        <f>G697</f>
        <v>0</v>
      </c>
      <c r="H696" s="77">
        <f>H697</f>
        <v>0</v>
      </c>
    </row>
    <row r="697" spans="1:8" ht="25.5" customHeight="1" x14ac:dyDescent="0.2">
      <c r="A697" s="78" t="s">
        <v>862</v>
      </c>
      <c r="B697" s="93" t="s">
        <v>80</v>
      </c>
      <c r="C697" s="9" t="s">
        <v>219</v>
      </c>
      <c r="D697" s="9" t="s">
        <v>197</v>
      </c>
      <c r="E697" s="87" t="s">
        <v>82</v>
      </c>
      <c r="F697" s="86">
        <v>0.6</v>
      </c>
      <c r="G697" s="77">
        <v>0</v>
      </c>
      <c r="H697" s="77">
        <v>0</v>
      </c>
    </row>
    <row r="698" spans="1:8" ht="36" customHeight="1" x14ac:dyDescent="0.2">
      <c r="A698" s="9" t="s">
        <v>559</v>
      </c>
      <c r="B698" s="9" t="s">
        <v>13</v>
      </c>
      <c r="C698" s="9"/>
      <c r="D698" s="9"/>
      <c r="E698" s="10" t="s">
        <v>560</v>
      </c>
      <c r="F698" s="66">
        <f t="shared" ref="F698:H699" si="136">F699</f>
        <v>31.16</v>
      </c>
      <c r="G698" s="66">
        <f t="shared" si="136"/>
        <v>16</v>
      </c>
      <c r="H698" s="66">
        <f t="shared" si="136"/>
        <v>16</v>
      </c>
    </row>
    <row r="699" spans="1:8" ht="36" customHeight="1" x14ac:dyDescent="0.2">
      <c r="A699" s="9" t="s">
        <v>559</v>
      </c>
      <c r="B699" s="9" t="s">
        <v>61</v>
      </c>
      <c r="C699" s="9"/>
      <c r="D699" s="9"/>
      <c r="E699" s="10" t="s">
        <v>62</v>
      </c>
      <c r="F699" s="66">
        <f t="shared" si="136"/>
        <v>31.16</v>
      </c>
      <c r="G699" s="66">
        <f t="shared" si="136"/>
        <v>16</v>
      </c>
      <c r="H699" s="66">
        <f t="shared" si="136"/>
        <v>16</v>
      </c>
    </row>
    <row r="700" spans="1:8" ht="36" customHeight="1" x14ac:dyDescent="0.2">
      <c r="A700" s="9" t="s">
        <v>559</v>
      </c>
      <c r="B700" s="9" t="s">
        <v>63</v>
      </c>
      <c r="C700" s="9" t="s">
        <v>219</v>
      </c>
      <c r="D700" s="9" t="s">
        <v>561</v>
      </c>
      <c r="E700" s="10" t="s">
        <v>65</v>
      </c>
      <c r="F700" s="66">
        <f>16+15.16</f>
        <v>31.16</v>
      </c>
      <c r="G700" s="66">
        <v>16</v>
      </c>
      <c r="H700" s="66">
        <v>16</v>
      </c>
    </row>
    <row r="701" spans="1:8" ht="47.1" customHeight="1" x14ac:dyDescent="0.2">
      <c r="A701" s="9" t="s">
        <v>562</v>
      </c>
      <c r="B701" s="9" t="s">
        <v>13</v>
      </c>
      <c r="C701" s="9"/>
      <c r="D701" s="9"/>
      <c r="E701" s="10" t="s">
        <v>563</v>
      </c>
      <c r="F701" s="66">
        <f>F703</f>
        <v>264.3</v>
      </c>
      <c r="G701" s="66">
        <f>G703</f>
        <v>264.3</v>
      </c>
      <c r="H701" s="66">
        <f>H703</f>
        <v>264.3</v>
      </c>
    </row>
    <row r="702" spans="1:8" ht="36" customHeight="1" x14ac:dyDescent="0.2">
      <c r="A702" s="9" t="s">
        <v>564</v>
      </c>
      <c r="B702" s="9" t="s">
        <v>13</v>
      </c>
      <c r="C702" s="9"/>
      <c r="D702" s="9"/>
      <c r="E702" s="41" t="s">
        <v>565</v>
      </c>
      <c r="F702" s="66">
        <f>F703</f>
        <v>264.3</v>
      </c>
      <c r="G702" s="66">
        <f>G703</f>
        <v>264.3</v>
      </c>
      <c r="H702" s="66">
        <f>H703</f>
        <v>264.3</v>
      </c>
    </row>
    <row r="703" spans="1:8" ht="26.1" customHeight="1" x14ac:dyDescent="0.2">
      <c r="A703" s="9" t="s">
        <v>566</v>
      </c>
      <c r="B703" s="9" t="s">
        <v>13</v>
      </c>
      <c r="C703" s="9"/>
      <c r="D703" s="9"/>
      <c r="E703" s="41" t="s">
        <v>567</v>
      </c>
      <c r="F703" s="66">
        <f t="shared" ref="F703:H704" si="137">F704</f>
        <v>264.3</v>
      </c>
      <c r="G703" s="66">
        <f t="shared" si="137"/>
        <v>264.3</v>
      </c>
      <c r="H703" s="66">
        <f t="shared" si="137"/>
        <v>264.3</v>
      </c>
    </row>
    <row r="704" spans="1:8" ht="39.950000000000003" customHeight="1" x14ac:dyDescent="0.2">
      <c r="A704" s="9" t="s">
        <v>566</v>
      </c>
      <c r="B704" s="9" t="s">
        <v>61</v>
      </c>
      <c r="C704" s="9"/>
      <c r="D704" s="9"/>
      <c r="E704" s="10" t="s">
        <v>62</v>
      </c>
      <c r="F704" s="66">
        <f t="shared" si="137"/>
        <v>264.3</v>
      </c>
      <c r="G704" s="66">
        <f t="shared" si="137"/>
        <v>264.3</v>
      </c>
      <c r="H704" s="66">
        <f t="shared" si="137"/>
        <v>264.3</v>
      </c>
    </row>
    <row r="705" spans="1:8" ht="42" customHeight="1" x14ac:dyDescent="0.2">
      <c r="A705" s="9" t="s">
        <v>566</v>
      </c>
      <c r="B705" s="9" t="s">
        <v>63</v>
      </c>
      <c r="C705" s="9" t="s">
        <v>219</v>
      </c>
      <c r="D705" s="9" t="s">
        <v>414</v>
      </c>
      <c r="E705" s="10" t="s">
        <v>65</v>
      </c>
      <c r="F705" s="66">
        <v>264.3</v>
      </c>
      <c r="G705" s="66">
        <v>264.3</v>
      </c>
      <c r="H705" s="66">
        <v>264.3</v>
      </c>
    </row>
    <row r="706" spans="1:8" ht="51.75" customHeight="1" x14ac:dyDescent="0.2">
      <c r="A706" s="9" t="s">
        <v>568</v>
      </c>
      <c r="B706" s="9" t="s">
        <v>13</v>
      </c>
      <c r="C706" s="9"/>
      <c r="D706" s="9"/>
      <c r="E706" s="10" t="s">
        <v>569</v>
      </c>
      <c r="F706" s="69">
        <f>F707+F712</f>
        <v>48</v>
      </c>
      <c r="G706" s="69">
        <f>G707+G712</f>
        <v>548</v>
      </c>
      <c r="H706" s="69">
        <f>H707+H712</f>
        <v>548</v>
      </c>
    </row>
    <row r="707" spans="1:8" ht="49.5" customHeight="1" x14ac:dyDescent="0.2">
      <c r="A707" s="9" t="s">
        <v>570</v>
      </c>
      <c r="B707" s="9" t="s">
        <v>13</v>
      </c>
      <c r="C707" s="9"/>
      <c r="D707" s="9"/>
      <c r="E707" s="10" t="s">
        <v>571</v>
      </c>
      <c r="F707" s="69">
        <f>F711</f>
        <v>48</v>
      </c>
      <c r="G707" s="69">
        <f>G711</f>
        <v>48</v>
      </c>
      <c r="H707" s="69">
        <f>H711</f>
        <v>48</v>
      </c>
    </row>
    <row r="708" spans="1:8" ht="48.95" customHeight="1" x14ac:dyDescent="0.2">
      <c r="A708" s="9" t="s">
        <v>572</v>
      </c>
      <c r="B708" s="9" t="s">
        <v>13</v>
      </c>
      <c r="C708" s="9"/>
      <c r="D708" s="9"/>
      <c r="E708" s="12" t="s">
        <v>573</v>
      </c>
      <c r="F708" s="69">
        <f>F709</f>
        <v>48</v>
      </c>
      <c r="G708" s="69">
        <f>G709</f>
        <v>48</v>
      </c>
      <c r="H708" s="69">
        <f>H709</f>
        <v>48</v>
      </c>
    </row>
    <row r="709" spans="1:8" ht="33.950000000000003" customHeight="1" x14ac:dyDescent="0.2">
      <c r="A709" s="9" t="s">
        <v>574</v>
      </c>
      <c r="B709" s="9" t="s">
        <v>13</v>
      </c>
      <c r="C709" s="9"/>
      <c r="D709" s="9"/>
      <c r="E709" s="10" t="s">
        <v>575</v>
      </c>
      <c r="F709" s="69">
        <f>F711</f>
        <v>48</v>
      </c>
      <c r="G709" s="69">
        <f>G711</f>
        <v>48</v>
      </c>
      <c r="H709" s="69">
        <f>H711</f>
        <v>48</v>
      </c>
    </row>
    <row r="710" spans="1:8" ht="32.25" customHeight="1" x14ac:dyDescent="0.2">
      <c r="A710" s="9" t="s">
        <v>574</v>
      </c>
      <c r="B710" s="9" t="s">
        <v>61</v>
      </c>
      <c r="C710" s="9"/>
      <c r="D710" s="9"/>
      <c r="E710" s="10" t="s">
        <v>62</v>
      </c>
      <c r="F710" s="69">
        <f>F711</f>
        <v>48</v>
      </c>
      <c r="G710" s="69">
        <f>G711</f>
        <v>48</v>
      </c>
      <c r="H710" s="69">
        <f>H711</f>
        <v>48</v>
      </c>
    </row>
    <row r="711" spans="1:8" ht="39" customHeight="1" x14ac:dyDescent="0.2">
      <c r="A711" s="9" t="s">
        <v>574</v>
      </c>
      <c r="B711" s="9" t="s">
        <v>63</v>
      </c>
      <c r="C711" s="9" t="s">
        <v>64</v>
      </c>
      <c r="D711" s="9" t="s">
        <v>414</v>
      </c>
      <c r="E711" s="10" t="s">
        <v>65</v>
      </c>
      <c r="F711" s="69">
        <v>48</v>
      </c>
      <c r="G711" s="69">
        <v>48</v>
      </c>
      <c r="H711" s="69">
        <v>48</v>
      </c>
    </row>
    <row r="712" spans="1:8" ht="33.950000000000003" customHeight="1" x14ac:dyDescent="0.2">
      <c r="A712" s="9" t="s">
        <v>576</v>
      </c>
      <c r="B712" s="9" t="s">
        <v>13</v>
      </c>
      <c r="C712" s="9"/>
      <c r="D712" s="9"/>
      <c r="E712" s="10" t="s">
        <v>577</v>
      </c>
      <c r="F712" s="69">
        <f>F716</f>
        <v>0</v>
      </c>
      <c r="G712" s="69">
        <f>G716</f>
        <v>500</v>
      </c>
      <c r="H712" s="69">
        <f>H716</f>
        <v>500</v>
      </c>
    </row>
    <row r="713" spans="1:8" ht="48.95" customHeight="1" x14ac:dyDescent="0.2">
      <c r="A713" s="9" t="s">
        <v>578</v>
      </c>
      <c r="B713" s="9" t="s">
        <v>13</v>
      </c>
      <c r="C713" s="9"/>
      <c r="D713" s="9"/>
      <c r="E713" s="12" t="s">
        <v>579</v>
      </c>
      <c r="F713" s="69">
        <f>F714</f>
        <v>0</v>
      </c>
      <c r="G713" s="69">
        <f>G714</f>
        <v>500</v>
      </c>
      <c r="H713" s="69">
        <f>H714</f>
        <v>500</v>
      </c>
    </row>
    <row r="714" spans="1:8" ht="39" customHeight="1" x14ac:dyDescent="0.2">
      <c r="A714" s="9" t="s">
        <v>580</v>
      </c>
      <c r="B714" s="9" t="s">
        <v>13</v>
      </c>
      <c r="C714" s="9"/>
      <c r="D714" s="9"/>
      <c r="E714" s="10" t="s">
        <v>581</v>
      </c>
      <c r="F714" s="69">
        <f>F716</f>
        <v>0</v>
      </c>
      <c r="G714" s="69">
        <f>G716</f>
        <v>500</v>
      </c>
      <c r="H714" s="69">
        <f>H716</f>
        <v>500</v>
      </c>
    </row>
    <row r="715" spans="1:8" ht="39" customHeight="1" x14ac:dyDescent="0.2">
      <c r="A715" s="9" t="s">
        <v>580</v>
      </c>
      <c r="B715" s="9" t="s">
        <v>61</v>
      </c>
      <c r="C715" s="9"/>
      <c r="D715" s="9"/>
      <c r="E715" s="10" t="s">
        <v>62</v>
      </c>
      <c r="F715" s="69">
        <f>F716</f>
        <v>0</v>
      </c>
      <c r="G715" s="69">
        <f>G716</f>
        <v>500</v>
      </c>
      <c r="H715" s="69">
        <f>H716</f>
        <v>500</v>
      </c>
    </row>
    <row r="716" spans="1:8" ht="39" customHeight="1" x14ac:dyDescent="0.2">
      <c r="A716" s="9" t="s">
        <v>580</v>
      </c>
      <c r="B716" s="9" t="s">
        <v>63</v>
      </c>
      <c r="C716" s="9" t="s">
        <v>64</v>
      </c>
      <c r="D716" s="9" t="s">
        <v>414</v>
      </c>
      <c r="E716" s="10" t="s">
        <v>65</v>
      </c>
      <c r="F716" s="81">
        <f>670-670</f>
        <v>0</v>
      </c>
      <c r="G716" s="69">
        <v>500</v>
      </c>
      <c r="H716" s="69">
        <v>500</v>
      </c>
    </row>
    <row r="717" spans="1:8" ht="39" customHeight="1" x14ac:dyDescent="0.2">
      <c r="A717" s="9" t="s">
        <v>582</v>
      </c>
      <c r="B717" s="9" t="s">
        <v>13</v>
      </c>
      <c r="C717" s="9"/>
      <c r="D717" s="9"/>
      <c r="E717" s="10" t="s">
        <v>583</v>
      </c>
      <c r="F717" s="66">
        <f>F718</f>
        <v>7118.92</v>
      </c>
      <c r="G717" s="66">
        <f>G718</f>
        <v>5960.8</v>
      </c>
      <c r="H717" s="66">
        <f>H718</f>
        <v>5960.8</v>
      </c>
    </row>
    <row r="718" spans="1:8" ht="51.95" customHeight="1" x14ac:dyDescent="0.2">
      <c r="A718" s="9" t="s">
        <v>584</v>
      </c>
      <c r="B718" s="9" t="s">
        <v>13</v>
      </c>
      <c r="C718" s="9"/>
      <c r="D718" s="9"/>
      <c r="E718" s="10" t="s">
        <v>585</v>
      </c>
      <c r="F718" s="66">
        <f>F719+F726</f>
        <v>7118.92</v>
      </c>
      <c r="G718" s="66">
        <f>G719+G726</f>
        <v>5960.8</v>
      </c>
      <c r="H718" s="66">
        <f>H719+H726</f>
        <v>5960.8</v>
      </c>
    </row>
    <row r="719" spans="1:8" ht="33" customHeight="1" x14ac:dyDescent="0.2">
      <c r="A719" s="9" t="s">
        <v>586</v>
      </c>
      <c r="B719" s="9" t="s">
        <v>13</v>
      </c>
      <c r="C719" s="9"/>
      <c r="D719" s="9"/>
      <c r="E719" s="10" t="s">
        <v>587</v>
      </c>
      <c r="F719" s="66">
        <f>F720+F723</f>
        <v>7003.92</v>
      </c>
      <c r="G719" s="66">
        <f>G720+G723</f>
        <v>5910.8</v>
      </c>
      <c r="H719" s="66">
        <f>H720+H723</f>
        <v>5910.8</v>
      </c>
    </row>
    <row r="720" spans="1:8" ht="23.25" customHeight="1" x14ac:dyDescent="0.2">
      <c r="A720" s="9" t="s">
        <v>588</v>
      </c>
      <c r="B720" s="9" t="s">
        <v>13</v>
      </c>
      <c r="C720" s="9"/>
      <c r="D720" s="9"/>
      <c r="E720" s="10" t="s">
        <v>589</v>
      </c>
      <c r="F720" s="66">
        <f t="shared" ref="F720:H721" si="138">F721</f>
        <v>990.8</v>
      </c>
      <c r="G720" s="66">
        <f t="shared" si="138"/>
        <v>990.8</v>
      </c>
      <c r="H720" s="66">
        <f t="shared" si="138"/>
        <v>990.8</v>
      </c>
    </row>
    <row r="721" spans="1:8" ht="36" customHeight="1" x14ac:dyDescent="0.2">
      <c r="A721" s="9" t="s">
        <v>588</v>
      </c>
      <c r="B721" s="9" t="s">
        <v>21</v>
      </c>
      <c r="C721" s="9"/>
      <c r="D721" s="9"/>
      <c r="E721" s="12" t="s">
        <v>22</v>
      </c>
      <c r="F721" s="66">
        <f t="shared" si="138"/>
        <v>990.8</v>
      </c>
      <c r="G721" s="66">
        <f t="shared" si="138"/>
        <v>990.8</v>
      </c>
      <c r="H721" s="66">
        <f t="shared" si="138"/>
        <v>990.8</v>
      </c>
    </row>
    <row r="722" spans="1:8" ht="52.5" customHeight="1" x14ac:dyDescent="0.2">
      <c r="A722" s="9" t="s">
        <v>588</v>
      </c>
      <c r="B722" s="9" t="s">
        <v>590</v>
      </c>
      <c r="C722" s="9" t="s">
        <v>64</v>
      </c>
      <c r="D722" s="9" t="s">
        <v>591</v>
      </c>
      <c r="E722" s="10" t="s">
        <v>592</v>
      </c>
      <c r="F722" s="66">
        <v>990.8</v>
      </c>
      <c r="G722" s="66">
        <v>990.8</v>
      </c>
      <c r="H722" s="66">
        <v>990.8</v>
      </c>
    </row>
    <row r="723" spans="1:8" ht="30.95" customHeight="1" x14ac:dyDescent="0.2">
      <c r="A723" s="9" t="s">
        <v>593</v>
      </c>
      <c r="B723" s="9" t="s">
        <v>13</v>
      </c>
      <c r="C723" s="9"/>
      <c r="D723" s="9"/>
      <c r="E723" s="10" t="s">
        <v>594</v>
      </c>
      <c r="F723" s="66">
        <f>F725</f>
        <v>6013.12</v>
      </c>
      <c r="G723" s="66">
        <f>G725</f>
        <v>4920</v>
      </c>
      <c r="H723" s="66">
        <f>H725</f>
        <v>4920</v>
      </c>
    </row>
    <row r="724" spans="1:8" ht="38.25" customHeight="1" x14ac:dyDescent="0.2">
      <c r="A724" s="9" t="s">
        <v>593</v>
      </c>
      <c r="B724" s="9" t="s">
        <v>21</v>
      </c>
      <c r="C724" s="9"/>
      <c r="D724" s="9"/>
      <c r="E724" s="12" t="s">
        <v>22</v>
      </c>
      <c r="F724" s="66">
        <f>F725</f>
        <v>6013.12</v>
      </c>
      <c r="G724" s="66">
        <f>G725</f>
        <v>4920</v>
      </c>
      <c r="H724" s="66">
        <f>H725</f>
        <v>4920</v>
      </c>
    </row>
    <row r="725" spans="1:8" ht="69" customHeight="1" x14ac:dyDescent="0.2">
      <c r="A725" s="9" t="s">
        <v>593</v>
      </c>
      <c r="B725" s="9" t="s">
        <v>590</v>
      </c>
      <c r="C725" s="9" t="s">
        <v>64</v>
      </c>
      <c r="D725" s="9" t="s">
        <v>591</v>
      </c>
      <c r="E725" s="10" t="s">
        <v>592</v>
      </c>
      <c r="F725" s="77">
        <f>4996.9+1016.22</f>
        <v>6013.12</v>
      </c>
      <c r="G725" s="66">
        <f>4100+820</f>
        <v>4920</v>
      </c>
      <c r="H725" s="66">
        <f>4100+820</f>
        <v>4920</v>
      </c>
    </row>
    <row r="726" spans="1:8" ht="53.1" customHeight="1" x14ac:dyDescent="0.2">
      <c r="A726" s="9" t="s">
        <v>595</v>
      </c>
      <c r="B726" s="9" t="s">
        <v>13</v>
      </c>
      <c r="C726" s="9"/>
      <c r="D726" s="9"/>
      <c r="E726" s="12" t="s">
        <v>596</v>
      </c>
      <c r="F726" s="66">
        <f>F727+F730</f>
        <v>115</v>
      </c>
      <c r="G726" s="66">
        <f>G727+G730</f>
        <v>50</v>
      </c>
      <c r="H726" s="66">
        <f>H727+H730</f>
        <v>50</v>
      </c>
    </row>
    <row r="727" spans="1:8" ht="39" customHeight="1" x14ac:dyDescent="0.2">
      <c r="A727" s="15" t="s">
        <v>597</v>
      </c>
      <c r="B727" s="15" t="s">
        <v>13</v>
      </c>
      <c r="C727" s="9"/>
      <c r="D727" s="9"/>
      <c r="E727" s="21" t="s">
        <v>598</v>
      </c>
      <c r="F727" s="66">
        <f>F729</f>
        <v>65</v>
      </c>
      <c r="G727" s="66">
        <f>G729</f>
        <v>0</v>
      </c>
      <c r="H727" s="66">
        <f>H729</f>
        <v>0</v>
      </c>
    </row>
    <row r="728" spans="1:8" ht="39.950000000000003" customHeight="1" x14ac:dyDescent="0.2">
      <c r="A728" s="15" t="s">
        <v>597</v>
      </c>
      <c r="B728" s="15" t="s">
        <v>21</v>
      </c>
      <c r="C728" s="9"/>
      <c r="D728" s="9"/>
      <c r="E728" s="22" t="s">
        <v>22</v>
      </c>
      <c r="F728" s="66">
        <f>F729</f>
        <v>65</v>
      </c>
      <c r="G728" s="66">
        <f>G729</f>
        <v>0</v>
      </c>
      <c r="H728" s="66">
        <f>H729</f>
        <v>0</v>
      </c>
    </row>
    <row r="729" spans="1:8" ht="72" customHeight="1" x14ac:dyDescent="0.2">
      <c r="A729" s="15" t="s">
        <v>597</v>
      </c>
      <c r="B729" s="15" t="s">
        <v>590</v>
      </c>
      <c r="C729" s="9" t="s">
        <v>64</v>
      </c>
      <c r="D729" s="9" t="s">
        <v>591</v>
      </c>
      <c r="E729" s="46" t="s">
        <v>592</v>
      </c>
      <c r="F729" s="66">
        <v>65</v>
      </c>
      <c r="G729" s="66">
        <v>0</v>
      </c>
      <c r="H729" s="66">
        <v>0</v>
      </c>
    </row>
    <row r="730" spans="1:8" ht="32.25" customHeight="1" x14ac:dyDescent="0.2">
      <c r="A730" s="9" t="s">
        <v>599</v>
      </c>
      <c r="B730" s="9" t="s">
        <v>13</v>
      </c>
      <c r="C730" s="9"/>
      <c r="D730" s="9"/>
      <c r="E730" s="10" t="s">
        <v>600</v>
      </c>
      <c r="F730" s="66">
        <f>F732</f>
        <v>50</v>
      </c>
      <c r="G730" s="66">
        <f>G732</f>
        <v>50</v>
      </c>
      <c r="H730" s="66">
        <f>H732</f>
        <v>50</v>
      </c>
    </row>
    <row r="731" spans="1:8" ht="37.5" customHeight="1" x14ac:dyDescent="0.2">
      <c r="A731" s="9" t="s">
        <v>599</v>
      </c>
      <c r="B731" s="9" t="s">
        <v>21</v>
      </c>
      <c r="C731" s="9"/>
      <c r="D731" s="9"/>
      <c r="E731" s="12" t="s">
        <v>22</v>
      </c>
      <c r="F731" s="66">
        <f>F732</f>
        <v>50</v>
      </c>
      <c r="G731" s="66">
        <f>G732</f>
        <v>50</v>
      </c>
      <c r="H731" s="66">
        <f>H732</f>
        <v>50</v>
      </c>
    </row>
    <row r="732" spans="1:8" ht="69" customHeight="1" x14ac:dyDescent="0.2">
      <c r="A732" s="9" t="s">
        <v>599</v>
      </c>
      <c r="B732" s="9" t="s">
        <v>590</v>
      </c>
      <c r="C732" s="9" t="s">
        <v>64</v>
      </c>
      <c r="D732" s="9" t="s">
        <v>591</v>
      </c>
      <c r="E732" s="10" t="s">
        <v>592</v>
      </c>
      <c r="F732" s="66">
        <v>50</v>
      </c>
      <c r="G732" s="66">
        <v>50</v>
      </c>
      <c r="H732" s="66">
        <v>50</v>
      </c>
    </row>
    <row r="733" spans="1:8" ht="98.1" customHeight="1" x14ac:dyDescent="0.2">
      <c r="A733" s="9" t="s">
        <v>601</v>
      </c>
      <c r="B733" s="9" t="s">
        <v>13</v>
      </c>
      <c r="C733" s="47"/>
      <c r="D733" s="47"/>
      <c r="E733" s="10" t="s">
        <v>602</v>
      </c>
      <c r="F733" s="66">
        <f>F734+F743</f>
        <v>29998</v>
      </c>
      <c r="G733" s="66">
        <f>G734+G743</f>
        <v>24769</v>
      </c>
      <c r="H733" s="66">
        <f>H734+H743</f>
        <v>23769</v>
      </c>
    </row>
    <row r="734" spans="1:8" ht="51" customHeight="1" x14ac:dyDescent="0.2">
      <c r="A734" s="9" t="s">
        <v>603</v>
      </c>
      <c r="B734" s="9" t="s">
        <v>13</v>
      </c>
      <c r="C734" s="47"/>
      <c r="D734" s="47"/>
      <c r="E734" s="10" t="s">
        <v>604</v>
      </c>
      <c r="F734" s="66">
        <f>F736+F739</f>
        <v>2004</v>
      </c>
      <c r="G734" s="66">
        <f>G736</f>
        <v>500</v>
      </c>
      <c r="H734" s="66">
        <f>H736</f>
        <v>500</v>
      </c>
    </row>
    <row r="735" spans="1:8" ht="101.1" customHeight="1" x14ac:dyDescent="0.2">
      <c r="A735" s="9" t="s">
        <v>605</v>
      </c>
      <c r="B735" s="9" t="s">
        <v>13</v>
      </c>
      <c r="C735" s="47"/>
      <c r="D735" s="47"/>
      <c r="E735" s="41" t="s">
        <v>606</v>
      </c>
      <c r="F735" s="66">
        <f>F736</f>
        <v>1884</v>
      </c>
      <c r="G735" s="66">
        <f>G736</f>
        <v>500</v>
      </c>
      <c r="H735" s="66">
        <f>H736</f>
        <v>500</v>
      </c>
    </row>
    <row r="736" spans="1:8" ht="36" customHeight="1" x14ac:dyDescent="0.2">
      <c r="A736" s="9" t="s">
        <v>607</v>
      </c>
      <c r="B736" s="9" t="s">
        <v>13</v>
      </c>
      <c r="C736" s="47"/>
      <c r="D736" s="47"/>
      <c r="E736" s="10" t="s">
        <v>608</v>
      </c>
      <c r="F736" s="66">
        <f t="shared" ref="F736:H737" si="139">F737</f>
        <v>1884</v>
      </c>
      <c r="G736" s="66">
        <f t="shared" si="139"/>
        <v>500</v>
      </c>
      <c r="H736" s="66">
        <f t="shared" si="139"/>
        <v>500</v>
      </c>
    </row>
    <row r="737" spans="1:8" ht="34.5" customHeight="1" x14ac:dyDescent="0.2">
      <c r="A737" s="9" t="s">
        <v>607</v>
      </c>
      <c r="B737" s="9" t="s">
        <v>61</v>
      </c>
      <c r="C737" s="47"/>
      <c r="D737" s="47"/>
      <c r="E737" s="10" t="s">
        <v>62</v>
      </c>
      <c r="F737" s="66">
        <f t="shared" si="139"/>
        <v>1884</v>
      </c>
      <c r="G737" s="66">
        <f t="shared" si="139"/>
        <v>500</v>
      </c>
      <c r="H737" s="66">
        <f t="shared" si="139"/>
        <v>500</v>
      </c>
    </row>
    <row r="738" spans="1:8" ht="38.25" customHeight="1" x14ac:dyDescent="0.2">
      <c r="A738" s="9" t="s">
        <v>607</v>
      </c>
      <c r="B738" s="9" t="s">
        <v>63</v>
      </c>
      <c r="C738" s="9" t="s">
        <v>64</v>
      </c>
      <c r="D738" s="9" t="s">
        <v>609</v>
      </c>
      <c r="E738" s="10" t="s">
        <v>65</v>
      </c>
      <c r="F738" s="66">
        <f>3284-1400</f>
        <v>1884</v>
      </c>
      <c r="G738" s="66">
        <v>500</v>
      </c>
      <c r="H738" s="66">
        <v>500</v>
      </c>
    </row>
    <row r="739" spans="1:8" ht="38.25" customHeight="1" x14ac:dyDescent="0.2">
      <c r="A739" s="15" t="s">
        <v>610</v>
      </c>
      <c r="B739" s="15" t="s">
        <v>13</v>
      </c>
      <c r="C739" s="9"/>
      <c r="D739" s="9"/>
      <c r="E739" s="20" t="s">
        <v>611</v>
      </c>
      <c r="F739" s="66">
        <f t="shared" ref="F739:H741" si="140">F740</f>
        <v>120</v>
      </c>
      <c r="G739" s="66">
        <f t="shared" si="140"/>
        <v>0</v>
      </c>
      <c r="H739" s="66">
        <f t="shared" si="140"/>
        <v>0</v>
      </c>
    </row>
    <row r="740" spans="1:8" ht="81" customHeight="1" x14ac:dyDescent="0.2">
      <c r="A740" s="15" t="s">
        <v>612</v>
      </c>
      <c r="B740" s="15" t="s">
        <v>13</v>
      </c>
      <c r="C740" s="9"/>
      <c r="D740" s="9"/>
      <c r="E740" s="20" t="s">
        <v>613</v>
      </c>
      <c r="F740" s="66">
        <f t="shared" si="140"/>
        <v>120</v>
      </c>
      <c r="G740" s="66">
        <f t="shared" si="140"/>
        <v>0</v>
      </c>
      <c r="H740" s="66">
        <f t="shared" si="140"/>
        <v>0</v>
      </c>
    </row>
    <row r="741" spans="1:8" ht="38.25" customHeight="1" x14ac:dyDescent="0.2">
      <c r="A741" s="15" t="s">
        <v>612</v>
      </c>
      <c r="B741" s="9" t="s">
        <v>61</v>
      </c>
      <c r="C741" s="9"/>
      <c r="D741" s="9"/>
      <c r="E741" s="22" t="s">
        <v>62</v>
      </c>
      <c r="F741" s="66">
        <f t="shared" si="140"/>
        <v>120</v>
      </c>
      <c r="G741" s="66">
        <f t="shared" si="140"/>
        <v>0</v>
      </c>
      <c r="H741" s="66">
        <f t="shared" si="140"/>
        <v>0</v>
      </c>
    </row>
    <row r="742" spans="1:8" ht="38.25" customHeight="1" x14ac:dyDescent="0.2">
      <c r="A742" s="15" t="s">
        <v>612</v>
      </c>
      <c r="B742" s="9" t="s">
        <v>63</v>
      </c>
      <c r="C742" s="9" t="s">
        <v>64</v>
      </c>
      <c r="D742" s="9" t="s">
        <v>609</v>
      </c>
      <c r="E742" s="22" t="s">
        <v>65</v>
      </c>
      <c r="F742" s="66">
        <v>120</v>
      </c>
      <c r="G742" s="66">
        <v>0</v>
      </c>
      <c r="H742" s="66">
        <v>0</v>
      </c>
    </row>
    <row r="743" spans="1:8" ht="83.1" customHeight="1" x14ac:dyDescent="0.2">
      <c r="A743" s="9" t="s">
        <v>614</v>
      </c>
      <c r="B743" s="9" t="s">
        <v>13</v>
      </c>
      <c r="C743" s="47"/>
      <c r="D743" s="47"/>
      <c r="E743" s="25" t="s">
        <v>615</v>
      </c>
      <c r="F743" s="66">
        <f>F744+F754+F760+F764+F768</f>
        <v>27994</v>
      </c>
      <c r="G743" s="66">
        <f>G744+G754+G760+G764+G768</f>
        <v>24269</v>
      </c>
      <c r="H743" s="66">
        <f>H744+H754+H760+H764+H768</f>
        <v>23269</v>
      </c>
    </row>
    <row r="744" spans="1:8" ht="48.95" customHeight="1" x14ac:dyDescent="0.2">
      <c r="A744" s="9" t="s">
        <v>616</v>
      </c>
      <c r="B744" s="9" t="s">
        <v>13</v>
      </c>
      <c r="C744" s="9"/>
      <c r="D744" s="9"/>
      <c r="E744" s="41" t="s">
        <v>617</v>
      </c>
      <c r="F744" s="66">
        <f>F745+F748+F751</f>
        <v>18261</v>
      </c>
      <c r="G744" s="66">
        <f>G745+G748+G751</f>
        <v>13200</v>
      </c>
      <c r="H744" s="66">
        <f>H745+H748+H751</f>
        <v>13200</v>
      </c>
    </row>
    <row r="745" spans="1:8" ht="57" customHeight="1" x14ac:dyDescent="0.2">
      <c r="A745" s="9" t="s">
        <v>618</v>
      </c>
      <c r="B745" s="9" t="s">
        <v>13</v>
      </c>
      <c r="C745" s="9"/>
      <c r="D745" s="9"/>
      <c r="E745" s="12" t="s">
        <v>619</v>
      </c>
      <c r="F745" s="66">
        <f t="shared" ref="F745:H746" si="141">F746</f>
        <v>11313.66</v>
      </c>
      <c r="G745" s="66">
        <f t="shared" si="141"/>
        <v>8700</v>
      </c>
      <c r="H745" s="66">
        <f t="shared" si="141"/>
        <v>8700</v>
      </c>
    </row>
    <row r="746" spans="1:8" ht="36.75" customHeight="1" x14ac:dyDescent="0.2">
      <c r="A746" s="9" t="s">
        <v>618</v>
      </c>
      <c r="B746" s="9" t="s">
        <v>61</v>
      </c>
      <c r="C746" s="9"/>
      <c r="D746" s="9"/>
      <c r="E746" s="10" t="s">
        <v>62</v>
      </c>
      <c r="F746" s="66">
        <f t="shared" si="141"/>
        <v>11313.66</v>
      </c>
      <c r="G746" s="66">
        <f t="shared" si="141"/>
        <v>8700</v>
      </c>
      <c r="H746" s="66">
        <f t="shared" si="141"/>
        <v>8700</v>
      </c>
    </row>
    <row r="747" spans="1:8" ht="39" customHeight="1" x14ac:dyDescent="0.2">
      <c r="A747" s="9" t="s">
        <v>618</v>
      </c>
      <c r="B747" s="9" t="s">
        <v>63</v>
      </c>
      <c r="C747" s="9" t="s">
        <v>64</v>
      </c>
      <c r="D747" s="9" t="s">
        <v>609</v>
      </c>
      <c r="E747" s="10" t="s">
        <v>65</v>
      </c>
      <c r="F747" s="69">
        <f>11711-397.34</f>
        <v>11313.66</v>
      </c>
      <c r="G747" s="69">
        <f>11700-3000</f>
        <v>8700</v>
      </c>
      <c r="H747" s="69">
        <f>11700-3000</f>
        <v>8700</v>
      </c>
    </row>
    <row r="748" spans="1:8" ht="69.95" customHeight="1" x14ac:dyDescent="0.2">
      <c r="A748" s="9" t="s">
        <v>620</v>
      </c>
      <c r="B748" s="9" t="s">
        <v>13</v>
      </c>
      <c r="C748" s="9"/>
      <c r="D748" s="9"/>
      <c r="E748" s="41" t="s">
        <v>621</v>
      </c>
      <c r="F748" s="66">
        <f t="shared" ref="F748:H749" si="142">F749</f>
        <v>6500</v>
      </c>
      <c r="G748" s="66">
        <f t="shared" si="142"/>
        <v>4450</v>
      </c>
      <c r="H748" s="66">
        <f t="shared" si="142"/>
        <v>4450</v>
      </c>
    </row>
    <row r="749" spans="1:8" ht="36" customHeight="1" x14ac:dyDescent="0.2">
      <c r="A749" s="9" t="s">
        <v>620</v>
      </c>
      <c r="B749" s="9" t="s">
        <v>61</v>
      </c>
      <c r="C749" s="9"/>
      <c r="D749" s="9"/>
      <c r="E749" s="10" t="s">
        <v>62</v>
      </c>
      <c r="F749" s="66">
        <f t="shared" si="142"/>
        <v>6500</v>
      </c>
      <c r="G749" s="66">
        <f t="shared" si="142"/>
        <v>4450</v>
      </c>
      <c r="H749" s="66">
        <f t="shared" si="142"/>
        <v>4450</v>
      </c>
    </row>
    <row r="750" spans="1:8" ht="42" customHeight="1" x14ac:dyDescent="0.2">
      <c r="A750" s="9" t="s">
        <v>620</v>
      </c>
      <c r="B750" s="9" t="s">
        <v>63</v>
      </c>
      <c r="C750" s="9" t="s">
        <v>64</v>
      </c>
      <c r="D750" s="9" t="s">
        <v>609</v>
      </c>
      <c r="E750" s="10" t="s">
        <v>65</v>
      </c>
      <c r="F750" s="69">
        <f>6500</f>
        <v>6500</v>
      </c>
      <c r="G750" s="69">
        <v>4450</v>
      </c>
      <c r="H750" s="69">
        <v>4450</v>
      </c>
    </row>
    <row r="751" spans="1:8" ht="24" customHeight="1" x14ac:dyDescent="0.2">
      <c r="A751" s="15" t="s">
        <v>622</v>
      </c>
      <c r="B751" s="15" t="s">
        <v>13</v>
      </c>
      <c r="C751" s="9"/>
      <c r="D751" s="9"/>
      <c r="E751" s="25" t="s">
        <v>623</v>
      </c>
      <c r="F751" s="66">
        <f t="shared" ref="F751:H752" si="143">F752</f>
        <v>447.34</v>
      </c>
      <c r="G751" s="66">
        <f t="shared" si="143"/>
        <v>50</v>
      </c>
      <c r="H751" s="66">
        <f t="shared" si="143"/>
        <v>50</v>
      </c>
    </row>
    <row r="752" spans="1:8" ht="35.1" customHeight="1" x14ac:dyDescent="0.2">
      <c r="A752" s="15" t="s">
        <v>622</v>
      </c>
      <c r="B752" s="15" t="s">
        <v>61</v>
      </c>
      <c r="C752" s="9"/>
      <c r="D752" s="9"/>
      <c r="E752" s="16" t="s">
        <v>62</v>
      </c>
      <c r="F752" s="66">
        <f t="shared" si="143"/>
        <v>447.34</v>
      </c>
      <c r="G752" s="66">
        <f t="shared" si="143"/>
        <v>50</v>
      </c>
      <c r="H752" s="66">
        <f t="shared" si="143"/>
        <v>50</v>
      </c>
    </row>
    <row r="753" spans="1:8" ht="36" customHeight="1" x14ac:dyDescent="0.2">
      <c r="A753" s="15" t="s">
        <v>622</v>
      </c>
      <c r="B753" s="15" t="s">
        <v>63</v>
      </c>
      <c r="C753" s="9" t="s">
        <v>64</v>
      </c>
      <c r="D753" s="9" t="s">
        <v>609</v>
      </c>
      <c r="E753" s="16" t="s">
        <v>65</v>
      </c>
      <c r="F753" s="69">
        <f>50+397.34</f>
        <v>447.34</v>
      </c>
      <c r="G753" s="69">
        <v>50</v>
      </c>
      <c r="H753" s="69">
        <v>50</v>
      </c>
    </row>
    <row r="754" spans="1:8" ht="111" customHeight="1" x14ac:dyDescent="0.2">
      <c r="A754" s="9" t="s">
        <v>624</v>
      </c>
      <c r="B754" s="9" t="s">
        <v>13</v>
      </c>
      <c r="C754" s="9"/>
      <c r="D754" s="9"/>
      <c r="E754" s="10" t="s">
        <v>625</v>
      </c>
      <c r="F754" s="69">
        <f>F755</f>
        <v>8919</v>
      </c>
      <c r="G754" s="69">
        <f>G755</f>
        <v>8919</v>
      </c>
      <c r="H754" s="69">
        <f>H755</f>
        <v>8919</v>
      </c>
    </row>
    <row r="755" spans="1:8" ht="54.95" customHeight="1" x14ac:dyDescent="0.2">
      <c r="A755" s="9" t="s">
        <v>626</v>
      </c>
      <c r="B755" s="9" t="s">
        <v>13</v>
      </c>
      <c r="C755" s="9"/>
      <c r="D755" s="9"/>
      <c r="E755" s="10" t="s">
        <v>627</v>
      </c>
      <c r="F755" s="66">
        <f>F757+F758</f>
        <v>8919</v>
      </c>
      <c r="G755" s="66">
        <f>G757+G758</f>
        <v>8919</v>
      </c>
      <c r="H755" s="66">
        <f>H757+H758</f>
        <v>8919</v>
      </c>
    </row>
    <row r="756" spans="1:8" ht="63" customHeight="1" x14ac:dyDescent="0.2">
      <c r="A756" s="9" t="s">
        <v>626</v>
      </c>
      <c r="B756" s="9" t="s">
        <v>78</v>
      </c>
      <c r="C756" s="9"/>
      <c r="D756" s="9"/>
      <c r="E756" s="10" t="s">
        <v>79</v>
      </c>
      <c r="F756" s="66">
        <f>F757</f>
        <v>8894</v>
      </c>
      <c r="G756" s="66">
        <f>G757</f>
        <v>8894</v>
      </c>
      <c r="H756" s="66">
        <f>H757</f>
        <v>8894</v>
      </c>
    </row>
    <row r="757" spans="1:8" ht="24" customHeight="1" x14ac:dyDescent="0.2">
      <c r="A757" s="9" t="s">
        <v>626</v>
      </c>
      <c r="B757" s="9" t="s">
        <v>80</v>
      </c>
      <c r="C757" s="9" t="s">
        <v>64</v>
      </c>
      <c r="D757" s="9" t="s">
        <v>609</v>
      </c>
      <c r="E757" s="10" t="s">
        <v>82</v>
      </c>
      <c r="F757" s="66">
        <f>8894</f>
        <v>8894</v>
      </c>
      <c r="G757" s="66">
        <f>8894</f>
        <v>8894</v>
      </c>
      <c r="H757" s="66">
        <f>8894</f>
        <v>8894</v>
      </c>
    </row>
    <row r="758" spans="1:8" ht="35.25" customHeight="1" x14ac:dyDescent="0.2">
      <c r="A758" s="9" t="s">
        <v>626</v>
      </c>
      <c r="B758" s="9" t="s">
        <v>61</v>
      </c>
      <c r="C758" s="9"/>
      <c r="D758" s="9"/>
      <c r="E758" s="10" t="s">
        <v>62</v>
      </c>
      <c r="F758" s="66">
        <f>F759</f>
        <v>25</v>
      </c>
      <c r="G758" s="66">
        <f>G759</f>
        <v>25</v>
      </c>
      <c r="H758" s="66">
        <f>H759</f>
        <v>25</v>
      </c>
    </row>
    <row r="759" spans="1:8" ht="33.75" customHeight="1" x14ac:dyDescent="0.2">
      <c r="A759" s="9" t="s">
        <v>626</v>
      </c>
      <c r="B759" s="9" t="s">
        <v>63</v>
      </c>
      <c r="C759" s="9" t="s">
        <v>64</v>
      </c>
      <c r="D759" s="9" t="s">
        <v>609</v>
      </c>
      <c r="E759" s="10" t="s">
        <v>65</v>
      </c>
      <c r="F759" s="66">
        <v>25</v>
      </c>
      <c r="G759" s="66">
        <v>25</v>
      </c>
      <c r="H759" s="66">
        <v>25</v>
      </c>
    </row>
    <row r="760" spans="1:8" ht="39.950000000000003" customHeight="1" x14ac:dyDescent="0.2">
      <c r="A760" s="9" t="s">
        <v>628</v>
      </c>
      <c r="B760" s="9" t="s">
        <v>13</v>
      </c>
      <c r="C760" s="9"/>
      <c r="D760" s="9"/>
      <c r="E760" s="12" t="s">
        <v>629</v>
      </c>
      <c r="F760" s="66">
        <f>F761</f>
        <v>0</v>
      </c>
      <c r="G760" s="66">
        <f>G761</f>
        <v>1000</v>
      </c>
      <c r="H760" s="66">
        <f>H761</f>
        <v>0</v>
      </c>
    </row>
    <row r="761" spans="1:8" ht="50.1" customHeight="1" x14ac:dyDescent="0.2">
      <c r="A761" s="9" t="s">
        <v>630</v>
      </c>
      <c r="B761" s="9" t="s">
        <v>13</v>
      </c>
      <c r="C761" s="9"/>
      <c r="D761" s="9"/>
      <c r="E761" s="41" t="s">
        <v>631</v>
      </c>
      <c r="F761" s="66">
        <f t="shared" ref="F761:H762" si="144">F762</f>
        <v>0</v>
      </c>
      <c r="G761" s="66">
        <f t="shared" si="144"/>
        <v>1000</v>
      </c>
      <c r="H761" s="66">
        <f t="shared" si="144"/>
        <v>0</v>
      </c>
    </row>
    <row r="762" spans="1:8" ht="33.950000000000003" customHeight="1" x14ac:dyDescent="0.2">
      <c r="A762" s="9" t="s">
        <v>630</v>
      </c>
      <c r="B762" s="15" t="s">
        <v>228</v>
      </c>
      <c r="C762" s="9"/>
      <c r="D762" s="9"/>
      <c r="E762" s="20" t="s">
        <v>229</v>
      </c>
      <c r="F762" s="66">
        <f t="shared" si="144"/>
        <v>0</v>
      </c>
      <c r="G762" s="66">
        <f t="shared" si="144"/>
        <v>1000</v>
      </c>
      <c r="H762" s="66">
        <f t="shared" si="144"/>
        <v>0</v>
      </c>
    </row>
    <row r="763" spans="1:8" ht="30" customHeight="1" x14ac:dyDescent="0.2">
      <c r="A763" s="9" t="s">
        <v>630</v>
      </c>
      <c r="B763" s="15" t="s">
        <v>230</v>
      </c>
      <c r="C763" s="9" t="s">
        <v>64</v>
      </c>
      <c r="D763" s="9" t="s">
        <v>609</v>
      </c>
      <c r="E763" s="21" t="s">
        <v>478</v>
      </c>
      <c r="F763" s="69">
        <f>1000-1000</f>
        <v>0</v>
      </c>
      <c r="G763" s="69">
        <v>1000</v>
      </c>
      <c r="H763" s="69">
        <v>0</v>
      </c>
    </row>
    <row r="764" spans="1:8" ht="52.5" customHeight="1" x14ac:dyDescent="0.2">
      <c r="A764" s="9" t="s">
        <v>632</v>
      </c>
      <c r="B764" s="9" t="s">
        <v>13</v>
      </c>
      <c r="C764" s="9"/>
      <c r="D764" s="9"/>
      <c r="E764" s="12" t="s">
        <v>633</v>
      </c>
      <c r="F764" s="73">
        <f>F765</f>
        <v>150</v>
      </c>
      <c r="G764" s="73">
        <f>G765</f>
        <v>150</v>
      </c>
      <c r="H764" s="73">
        <f>H765</f>
        <v>150</v>
      </c>
    </row>
    <row r="765" spans="1:8" ht="48" customHeight="1" x14ac:dyDescent="0.2">
      <c r="A765" s="9" t="s">
        <v>634</v>
      </c>
      <c r="B765" s="9" t="s">
        <v>13</v>
      </c>
      <c r="C765" s="9"/>
      <c r="D765" s="9"/>
      <c r="E765" s="10" t="s">
        <v>635</v>
      </c>
      <c r="F765" s="66">
        <f t="shared" ref="F765:H766" si="145">F766</f>
        <v>150</v>
      </c>
      <c r="G765" s="66">
        <f t="shared" si="145"/>
        <v>150</v>
      </c>
      <c r="H765" s="66">
        <f t="shared" si="145"/>
        <v>150</v>
      </c>
    </row>
    <row r="766" spans="1:8" ht="37.5" customHeight="1" x14ac:dyDescent="0.2">
      <c r="A766" s="9" t="s">
        <v>634</v>
      </c>
      <c r="B766" s="9" t="s">
        <v>61</v>
      </c>
      <c r="C766" s="9"/>
      <c r="D766" s="9"/>
      <c r="E766" s="10" t="s">
        <v>62</v>
      </c>
      <c r="F766" s="66">
        <f t="shared" si="145"/>
        <v>150</v>
      </c>
      <c r="G766" s="66">
        <f t="shared" si="145"/>
        <v>150</v>
      </c>
      <c r="H766" s="66">
        <f t="shared" si="145"/>
        <v>150</v>
      </c>
    </row>
    <row r="767" spans="1:8" ht="37.5" customHeight="1" x14ac:dyDescent="0.2">
      <c r="A767" s="9" t="s">
        <v>634</v>
      </c>
      <c r="B767" s="9" t="s">
        <v>63</v>
      </c>
      <c r="C767" s="9" t="s">
        <v>64</v>
      </c>
      <c r="D767" s="9" t="s">
        <v>521</v>
      </c>
      <c r="E767" s="10" t="s">
        <v>65</v>
      </c>
      <c r="F767" s="66">
        <v>150</v>
      </c>
      <c r="G767" s="66">
        <v>150</v>
      </c>
      <c r="H767" s="66">
        <v>150</v>
      </c>
    </row>
    <row r="768" spans="1:8" ht="63.95" customHeight="1" x14ac:dyDescent="0.2">
      <c r="A768" s="9" t="s">
        <v>636</v>
      </c>
      <c r="B768" s="9" t="s">
        <v>13</v>
      </c>
      <c r="C768" s="9"/>
      <c r="D768" s="9"/>
      <c r="E768" s="12" t="s">
        <v>637</v>
      </c>
      <c r="F768" s="73">
        <f t="shared" ref="F768:H770" si="146">F769</f>
        <v>664</v>
      </c>
      <c r="G768" s="73">
        <f t="shared" si="146"/>
        <v>1000</v>
      </c>
      <c r="H768" s="73">
        <f t="shared" si="146"/>
        <v>1000</v>
      </c>
    </row>
    <row r="769" spans="1:8" ht="54" customHeight="1" x14ac:dyDescent="0.2">
      <c r="A769" s="9" t="s">
        <v>638</v>
      </c>
      <c r="B769" s="9" t="s">
        <v>13</v>
      </c>
      <c r="C769" s="9"/>
      <c r="D769" s="9"/>
      <c r="E769" s="12" t="s">
        <v>639</v>
      </c>
      <c r="F769" s="66">
        <f t="shared" si="146"/>
        <v>664</v>
      </c>
      <c r="G769" s="66">
        <f t="shared" si="146"/>
        <v>1000</v>
      </c>
      <c r="H769" s="66">
        <f t="shared" si="146"/>
        <v>1000</v>
      </c>
    </row>
    <row r="770" spans="1:8" ht="37.5" customHeight="1" x14ac:dyDescent="0.2">
      <c r="A770" s="9" t="s">
        <v>638</v>
      </c>
      <c r="B770" s="9" t="s">
        <v>61</v>
      </c>
      <c r="C770" s="9"/>
      <c r="D770" s="9"/>
      <c r="E770" s="10" t="s">
        <v>62</v>
      </c>
      <c r="F770" s="66">
        <f t="shared" si="146"/>
        <v>664</v>
      </c>
      <c r="G770" s="66">
        <f t="shared" si="146"/>
        <v>1000</v>
      </c>
      <c r="H770" s="66">
        <f t="shared" si="146"/>
        <v>1000</v>
      </c>
    </row>
    <row r="771" spans="1:8" ht="37.5" customHeight="1" x14ac:dyDescent="0.2">
      <c r="A771" s="9" t="s">
        <v>638</v>
      </c>
      <c r="B771" s="9" t="s">
        <v>63</v>
      </c>
      <c r="C771" s="9" t="s">
        <v>64</v>
      </c>
      <c r="D771" s="9" t="s">
        <v>609</v>
      </c>
      <c r="E771" s="10" t="s">
        <v>65</v>
      </c>
      <c r="F771" s="69">
        <v>664</v>
      </c>
      <c r="G771" s="69">
        <v>1000</v>
      </c>
      <c r="H771" s="69">
        <v>1000</v>
      </c>
    </row>
    <row r="772" spans="1:8" ht="66.95" customHeight="1" x14ac:dyDescent="0.2">
      <c r="A772" s="15" t="s">
        <v>640</v>
      </c>
      <c r="B772" s="15" t="s">
        <v>13</v>
      </c>
      <c r="C772" s="9"/>
      <c r="D772" s="9"/>
      <c r="E772" s="16" t="s">
        <v>641</v>
      </c>
      <c r="F772" s="67">
        <f>F774</f>
        <v>44905.351000000002</v>
      </c>
      <c r="G772" s="66">
        <f>G774</f>
        <v>0</v>
      </c>
      <c r="H772" s="66">
        <f>H774</f>
        <v>0</v>
      </c>
    </row>
    <row r="773" spans="1:8" ht="37.5" customHeight="1" x14ac:dyDescent="0.2">
      <c r="A773" s="15" t="s">
        <v>642</v>
      </c>
      <c r="B773" s="15" t="s">
        <v>13</v>
      </c>
      <c r="C773" s="9"/>
      <c r="D773" s="9"/>
      <c r="E773" s="16" t="s">
        <v>643</v>
      </c>
      <c r="F773" s="67">
        <f t="shared" ref="F773:H776" si="147">F774</f>
        <v>44905.351000000002</v>
      </c>
      <c r="G773" s="67">
        <f t="shared" si="147"/>
        <v>0</v>
      </c>
      <c r="H773" s="67">
        <f t="shared" si="147"/>
        <v>0</v>
      </c>
    </row>
    <row r="774" spans="1:8" ht="66" customHeight="1" x14ac:dyDescent="0.2">
      <c r="A774" s="15" t="s">
        <v>644</v>
      </c>
      <c r="B774" s="15" t="s">
        <v>13</v>
      </c>
      <c r="C774" s="9"/>
      <c r="D774" s="9"/>
      <c r="E774" s="16" t="s">
        <v>645</v>
      </c>
      <c r="F774" s="67">
        <f t="shared" si="147"/>
        <v>44905.351000000002</v>
      </c>
      <c r="G774" s="66">
        <f t="shared" si="147"/>
        <v>0</v>
      </c>
      <c r="H774" s="66">
        <f t="shared" si="147"/>
        <v>0</v>
      </c>
    </row>
    <row r="775" spans="1:8" ht="51.95" customHeight="1" x14ac:dyDescent="0.2">
      <c r="A775" s="15" t="s">
        <v>646</v>
      </c>
      <c r="B775" s="15" t="s">
        <v>13</v>
      </c>
      <c r="C775" s="9"/>
      <c r="D775" s="9"/>
      <c r="E775" s="16" t="s">
        <v>647</v>
      </c>
      <c r="F775" s="67">
        <f t="shared" si="147"/>
        <v>44905.351000000002</v>
      </c>
      <c r="G775" s="66">
        <f t="shared" si="147"/>
        <v>0</v>
      </c>
      <c r="H775" s="66">
        <f t="shared" si="147"/>
        <v>0</v>
      </c>
    </row>
    <row r="776" spans="1:8" ht="37.5" customHeight="1" x14ac:dyDescent="0.2">
      <c r="A776" s="15" t="s">
        <v>646</v>
      </c>
      <c r="B776" s="15" t="s">
        <v>228</v>
      </c>
      <c r="C776" s="9"/>
      <c r="D776" s="9"/>
      <c r="E776" s="16" t="s">
        <v>229</v>
      </c>
      <c r="F776" s="67">
        <f t="shared" si="147"/>
        <v>44905.351000000002</v>
      </c>
      <c r="G776" s="67">
        <f t="shared" si="147"/>
        <v>0</v>
      </c>
      <c r="H776" s="67">
        <f t="shared" si="147"/>
        <v>0</v>
      </c>
    </row>
    <row r="777" spans="1:8" ht="30" customHeight="1" x14ac:dyDescent="0.2">
      <c r="A777" s="15" t="s">
        <v>646</v>
      </c>
      <c r="B777" s="15" t="s">
        <v>230</v>
      </c>
      <c r="C777" s="9" t="s">
        <v>64</v>
      </c>
      <c r="D777" s="9" t="s">
        <v>471</v>
      </c>
      <c r="E777" s="16" t="s">
        <v>231</v>
      </c>
      <c r="F777" s="67">
        <f>44628.5+276.851</f>
        <v>44905.351000000002</v>
      </c>
      <c r="G777" s="66">
        <v>0</v>
      </c>
      <c r="H777" s="66">
        <v>0</v>
      </c>
    </row>
    <row r="778" spans="1:8" ht="49.5" customHeight="1" x14ac:dyDescent="0.2">
      <c r="A778" s="9" t="s">
        <v>648</v>
      </c>
      <c r="B778" s="9" t="s">
        <v>13</v>
      </c>
      <c r="C778" s="9"/>
      <c r="D778" s="9"/>
      <c r="E778" s="10" t="s">
        <v>649</v>
      </c>
      <c r="F778" s="66">
        <f>F779+F787+F795</f>
        <v>33086.81</v>
      </c>
      <c r="G778" s="66">
        <f>G779+G787+G795</f>
        <v>25874.129999999997</v>
      </c>
      <c r="H778" s="66">
        <f>H779+H787+H795</f>
        <v>10159.629999999999</v>
      </c>
    </row>
    <row r="779" spans="1:8" ht="33.75" customHeight="1" x14ac:dyDescent="0.2">
      <c r="A779" s="9" t="s">
        <v>650</v>
      </c>
      <c r="B779" s="9" t="s">
        <v>13</v>
      </c>
      <c r="C779" s="9"/>
      <c r="D779" s="9"/>
      <c r="E779" s="10" t="s">
        <v>651</v>
      </c>
      <c r="F779" s="66">
        <f>F780</f>
        <v>13484.81</v>
      </c>
      <c r="G779" s="66">
        <f>G780</f>
        <v>3175.33</v>
      </c>
      <c r="H779" s="66">
        <f>H780</f>
        <v>3175.33</v>
      </c>
    </row>
    <row r="780" spans="1:8" ht="33" customHeight="1" x14ac:dyDescent="0.2">
      <c r="A780" s="9" t="s">
        <v>652</v>
      </c>
      <c r="B780" s="9" t="s">
        <v>13</v>
      </c>
      <c r="C780" s="14"/>
      <c r="D780" s="14"/>
      <c r="E780" s="12" t="s">
        <v>653</v>
      </c>
      <c r="F780" s="66">
        <f>F781+F784</f>
        <v>13484.81</v>
      </c>
      <c r="G780" s="66">
        <f>G781+G784</f>
        <v>3175.33</v>
      </c>
      <c r="H780" s="66">
        <f>H781+H784</f>
        <v>3175.33</v>
      </c>
    </row>
    <row r="781" spans="1:8" ht="42" customHeight="1" x14ac:dyDescent="0.2">
      <c r="A781" s="48" t="s">
        <v>654</v>
      </c>
      <c r="B781" s="15" t="s">
        <v>13</v>
      </c>
      <c r="C781" s="14"/>
      <c r="D781" s="14"/>
      <c r="E781" s="21" t="s">
        <v>655</v>
      </c>
      <c r="F781" s="66">
        <f t="shared" ref="F781:H782" si="148">F782</f>
        <v>10309.48</v>
      </c>
      <c r="G781" s="66">
        <f t="shared" si="148"/>
        <v>0</v>
      </c>
      <c r="H781" s="66">
        <f t="shared" si="148"/>
        <v>0</v>
      </c>
    </row>
    <row r="782" spans="1:8" ht="33" customHeight="1" x14ac:dyDescent="0.2">
      <c r="A782" s="48" t="s">
        <v>654</v>
      </c>
      <c r="B782" s="15" t="s">
        <v>228</v>
      </c>
      <c r="C782" s="14"/>
      <c r="D782" s="14"/>
      <c r="E782" s="20" t="s">
        <v>229</v>
      </c>
      <c r="F782" s="66">
        <f t="shared" si="148"/>
        <v>10309.48</v>
      </c>
      <c r="G782" s="66">
        <f t="shared" si="148"/>
        <v>0</v>
      </c>
      <c r="H782" s="66">
        <f t="shared" si="148"/>
        <v>0</v>
      </c>
    </row>
    <row r="783" spans="1:8" ht="33" customHeight="1" x14ac:dyDescent="0.2">
      <c r="A783" s="48" t="s">
        <v>654</v>
      </c>
      <c r="B783" s="15" t="s">
        <v>230</v>
      </c>
      <c r="C783" s="9" t="s">
        <v>64</v>
      </c>
      <c r="D783" s="9" t="s">
        <v>25</v>
      </c>
      <c r="E783" s="21" t="s">
        <v>478</v>
      </c>
      <c r="F783" s="70">
        <f>1526.56+8782.92</f>
        <v>10309.48</v>
      </c>
      <c r="G783" s="70">
        <v>0</v>
      </c>
      <c r="H783" s="70">
        <v>0</v>
      </c>
    </row>
    <row r="784" spans="1:8" ht="53.1" customHeight="1" x14ac:dyDescent="0.2">
      <c r="A784" s="27" t="s">
        <v>656</v>
      </c>
      <c r="B784" s="9" t="s">
        <v>13</v>
      </c>
      <c r="C784" s="9"/>
      <c r="D784" s="9"/>
      <c r="E784" s="10" t="s">
        <v>657</v>
      </c>
      <c r="F784" s="66">
        <f t="shared" ref="F784:H785" si="149">F785</f>
        <v>3175.33</v>
      </c>
      <c r="G784" s="66">
        <f t="shared" si="149"/>
        <v>3175.33</v>
      </c>
      <c r="H784" s="66">
        <f t="shared" si="149"/>
        <v>3175.33</v>
      </c>
    </row>
    <row r="785" spans="1:8" ht="33.75" customHeight="1" x14ac:dyDescent="0.2">
      <c r="A785" s="27" t="s">
        <v>656</v>
      </c>
      <c r="B785" s="9" t="s">
        <v>228</v>
      </c>
      <c r="C785" s="9"/>
      <c r="D785" s="9"/>
      <c r="E785" s="10" t="s">
        <v>229</v>
      </c>
      <c r="F785" s="66">
        <f t="shared" si="149"/>
        <v>3175.33</v>
      </c>
      <c r="G785" s="66">
        <f t="shared" si="149"/>
        <v>3175.33</v>
      </c>
      <c r="H785" s="66">
        <f t="shared" si="149"/>
        <v>3175.33</v>
      </c>
    </row>
    <row r="786" spans="1:8" ht="25.5" customHeight="1" x14ac:dyDescent="0.2">
      <c r="A786" s="27" t="s">
        <v>656</v>
      </c>
      <c r="B786" s="9" t="s">
        <v>230</v>
      </c>
      <c r="C786" s="9" t="s">
        <v>64</v>
      </c>
      <c r="D786" s="9" t="s">
        <v>25</v>
      </c>
      <c r="E786" s="10" t="s">
        <v>478</v>
      </c>
      <c r="F786" s="70">
        <f>3175.33</f>
        <v>3175.33</v>
      </c>
      <c r="G786" s="70">
        <v>3175.33</v>
      </c>
      <c r="H786" s="70">
        <v>3175.33</v>
      </c>
    </row>
    <row r="787" spans="1:8" ht="38.1" customHeight="1" x14ac:dyDescent="0.2">
      <c r="A787" s="9" t="s">
        <v>658</v>
      </c>
      <c r="B787" s="9" t="s">
        <v>13</v>
      </c>
      <c r="C787" s="9"/>
      <c r="D787" s="9"/>
      <c r="E787" s="10" t="s">
        <v>659</v>
      </c>
      <c r="F787" s="66">
        <f>F789+F792</f>
        <v>19102</v>
      </c>
      <c r="G787" s="66">
        <f>G788</f>
        <v>22698.799999999999</v>
      </c>
      <c r="H787" s="66">
        <f>H788</f>
        <v>6984.2999999999993</v>
      </c>
    </row>
    <row r="788" spans="1:8" ht="36" customHeight="1" x14ac:dyDescent="0.2">
      <c r="A788" s="9" t="s">
        <v>660</v>
      </c>
      <c r="B788" s="9" t="s">
        <v>13</v>
      </c>
      <c r="C788" s="9"/>
      <c r="D788" s="9"/>
      <c r="E788" s="10" t="s">
        <v>661</v>
      </c>
      <c r="F788" s="66">
        <f>F789+F792</f>
        <v>19102</v>
      </c>
      <c r="G788" s="66">
        <f>G789+G792</f>
        <v>22698.799999999999</v>
      </c>
      <c r="H788" s="66">
        <f>H789+H792</f>
        <v>6984.2999999999993</v>
      </c>
    </row>
    <row r="789" spans="1:8" ht="65.25" customHeight="1" x14ac:dyDescent="0.2">
      <c r="A789" s="27" t="s">
        <v>662</v>
      </c>
      <c r="B789" s="9" t="s">
        <v>13</v>
      </c>
      <c r="C789" s="9"/>
      <c r="D789" s="9"/>
      <c r="E789" s="10" t="s">
        <v>663</v>
      </c>
      <c r="F789" s="66">
        <f t="shared" ref="F789:H790" si="150">F790</f>
        <v>10476.4</v>
      </c>
      <c r="G789" s="66">
        <f t="shared" si="150"/>
        <v>17460.599999999999</v>
      </c>
      <c r="H789" s="66">
        <f t="shared" si="150"/>
        <v>1746.1</v>
      </c>
    </row>
    <row r="790" spans="1:8" ht="33.75" customHeight="1" x14ac:dyDescent="0.2">
      <c r="A790" s="27" t="s">
        <v>662</v>
      </c>
      <c r="B790" s="9" t="s">
        <v>228</v>
      </c>
      <c r="C790" s="9"/>
      <c r="D790" s="9"/>
      <c r="E790" s="12" t="s">
        <v>229</v>
      </c>
      <c r="F790" s="66">
        <f t="shared" si="150"/>
        <v>10476.4</v>
      </c>
      <c r="G790" s="66">
        <f t="shared" si="150"/>
        <v>17460.599999999999</v>
      </c>
      <c r="H790" s="66">
        <f t="shared" si="150"/>
        <v>1746.1</v>
      </c>
    </row>
    <row r="791" spans="1:8" ht="18.75" customHeight="1" x14ac:dyDescent="0.2">
      <c r="A791" s="49" t="s">
        <v>662</v>
      </c>
      <c r="B791" s="14" t="s">
        <v>230</v>
      </c>
      <c r="C791" s="14" t="s">
        <v>64</v>
      </c>
      <c r="D791" s="14" t="s">
        <v>25</v>
      </c>
      <c r="E791" s="12" t="s">
        <v>478</v>
      </c>
      <c r="F791" s="68">
        <v>10476.4</v>
      </c>
      <c r="G791" s="68">
        <v>17460.599999999999</v>
      </c>
      <c r="H791" s="68">
        <v>1746.1</v>
      </c>
    </row>
    <row r="792" spans="1:8" ht="80.25" customHeight="1" x14ac:dyDescent="0.2">
      <c r="A792" s="27" t="s">
        <v>664</v>
      </c>
      <c r="B792" s="9" t="s">
        <v>13</v>
      </c>
      <c r="C792" s="9"/>
      <c r="D792" s="9"/>
      <c r="E792" s="10" t="s">
        <v>665</v>
      </c>
      <c r="F792" s="66">
        <f t="shared" ref="F792:H793" si="151">F793</f>
        <v>8625.5999999999985</v>
      </c>
      <c r="G792" s="66">
        <f t="shared" si="151"/>
        <v>5238.2</v>
      </c>
      <c r="H792" s="66">
        <f t="shared" si="151"/>
        <v>5238.2</v>
      </c>
    </row>
    <row r="793" spans="1:8" ht="33.75" customHeight="1" x14ac:dyDescent="0.2">
      <c r="A793" s="27" t="s">
        <v>664</v>
      </c>
      <c r="B793" s="9" t="s">
        <v>228</v>
      </c>
      <c r="C793" s="9"/>
      <c r="D793" s="9"/>
      <c r="E793" s="12" t="s">
        <v>229</v>
      </c>
      <c r="F793" s="66">
        <f t="shared" si="151"/>
        <v>8625.5999999999985</v>
      </c>
      <c r="G793" s="66">
        <f t="shared" si="151"/>
        <v>5238.2</v>
      </c>
      <c r="H793" s="66">
        <f t="shared" si="151"/>
        <v>5238.2</v>
      </c>
    </row>
    <row r="794" spans="1:8" ht="22.5" customHeight="1" x14ac:dyDescent="0.2">
      <c r="A794" s="27" t="s">
        <v>664</v>
      </c>
      <c r="B794" s="9" t="s">
        <v>230</v>
      </c>
      <c r="C794" s="9" t="s">
        <v>64</v>
      </c>
      <c r="D794" s="9" t="s">
        <v>25</v>
      </c>
      <c r="E794" s="10" t="s">
        <v>478</v>
      </c>
      <c r="F794" s="77">
        <f>8730.3-104.7</f>
        <v>8625.5999999999985</v>
      </c>
      <c r="G794" s="66">
        <v>5238.2</v>
      </c>
      <c r="H794" s="66">
        <v>5238.2</v>
      </c>
    </row>
    <row r="795" spans="1:8" ht="54" customHeight="1" x14ac:dyDescent="0.2">
      <c r="A795" s="9" t="s">
        <v>666</v>
      </c>
      <c r="B795" s="9" t="s">
        <v>13</v>
      </c>
      <c r="C795" s="9"/>
      <c r="D795" s="9"/>
      <c r="E795" s="10" t="s">
        <v>852</v>
      </c>
      <c r="F795" s="66">
        <f>F797</f>
        <v>500</v>
      </c>
      <c r="G795" s="66">
        <f>G797</f>
        <v>0</v>
      </c>
      <c r="H795" s="66">
        <f>H797</f>
        <v>0</v>
      </c>
    </row>
    <row r="796" spans="1:8" ht="35.25" customHeight="1" x14ac:dyDescent="0.2">
      <c r="A796" s="9" t="s">
        <v>667</v>
      </c>
      <c r="B796" s="9" t="s">
        <v>13</v>
      </c>
      <c r="C796" s="9"/>
      <c r="D796" s="9"/>
      <c r="E796" s="10" t="s">
        <v>853</v>
      </c>
      <c r="F796" s="66">
        <f t="shared" ref="F796:H798" si="152">F797</f>
        <v>500</v>
      </c>
      <c r="G796" s="66">
        <f t="shared" si="152"/>
        <v>0</v>
      </c>
      <c r="H796" s="66">
        <f t="shared" si="152"/>
        <v>0</v>
      </c>
    </row>
    <row r="797" spans="1:8" ht="41.25" customHeight="1" x14ac:dyDescent="0.2">
      <c r="A797" s="9" t="s">
        <v>668</v>
      </c>
      <c r="B797" s="9" t="s">
        <v>13</v>
      </c>
      <c r="C797" s="9"/>
      <c r="D797" s="9"/>
      <c r="E797" s="79" t="s">
        <v>854</v>
      </c>
      <c r="F797" s="66">
        <f t="shared" si="152"/>
        <v>500</v>
      </c>
      <c r="G797" s="66">
        <f t="shared" si="152"/>
        <v>0</v>
      </c>
      <c r="H797" s="66">
        <f t="shared" si="152"/>
        <v>0</v>
      </c>
    </row>
    <row r="798" spans="1:8" ht="24" customHeight="1" x14ac:dyDescent="0.2">
      <c r="A798" s="9" t="s">
        <v>668</v>
      </c>
      <c r="B798" s="9" t="s">
        <v>217</v>
      </c>
      <c r="C798" s="9"/>
      <c r="D798" s="9"/>
      <c r="E798" s="12" t="s">
        <v>218</v>
      </c>
      <c r="F798" s="66">
        <f t="shared" si="152"/>
        <v>500</v>
      </c>
      <c r="G798" s="66">
        <f t="shared" si="152"/>
        <v>0</v>
      </c>
      <c r="H798" s="66">
        <f t="shared" si="152"/>
        <v>0</v>
      </c>
    </row>
    <row r="799" spans="1:8" ht="36.950000000000003" customHeight="1" x14ac:dyDescent="0.2">
      <c r="A799" s="9" t="s">
        <v>668</v>
      </c>
      <c r="B799" s="9" t="s">
        <v>669</v>
      </c>
      <c r="C799" s="9" t="s">
        <v>64</v>
      </c>
      <c r="D799" s="9" t="s">
        <v>220</v>
      </c>
      <c r="E799" s="10" t="s">
        <v>670</v>
      </c>
      <c r="F799" s="70">
        <v>500</v>
      </c>
      <c r="G799" s="70">
        <v>0</v>
      </c>
      <c r="H799" s="70">
        <v>0</v>
      </c>
    </row>
    <row r="800" spans="1:8" ht="54" customHeight="1" x14ac:dyDescent="0.2">
      <c r="A800" s="9" t="s">
        <v>671</v>
      </c>
      <c r="B800" s="9" t="s">
        <v>13</v>
      </c>
      <c r="C800" s="9"/>
      <c r="D800" s="9"/>
      <c r="E800" s="10" t="s">
        <v>672</v>
      </c>
      <c r="F800" s="66">
        <f>F801</f>
        <v>30</v>
      </c>
      <c r="G800" s="66">
        <f>G801</f>
        <v>30</v>
      </c>
      <c r="H800" s="66">
        <f>H801</f>
        <v>30</v>
      </c>
    </row>
    <row r="801" spans="1:8" ht="51" customHeight="1" x14ac:dyDescent="0.2">
      <c r="A801" s="9" t="s">
        <v>673</v>
      </c>
      <c r="B801" s="9" t="s">
        <v>13</v>
      </c>
      <c r="C801" s="9"/>
      <c r="D801" s="9"/>
      <c r="E801" s="10" t="s">
        <v>674</v>
      </c>
      <c r="F801" s="66">
        <f>F803</f>
        <v>30</v>
      </c>
      <c r="G801" s="66">
        <f>G803</f>
        <v>30</v>
      </c>
      <c r="H801" s="66">
        <f>H803</f>
        <v>30</v>
      </c>
    </row>
    <row r="802" spans="1:8" ht="33.75" customHeight="1" x14ac:dyDescent="0.2">
      <c r="A802" s="9" t="s">
        <v>675</v>
      </c>
      <c r="B802" s="9" t="s">
        <v>13</v>
      </c>
      <c r="C802" s="9"/>
      <c r="D802" s="9"/>
      <c r="E802" s="12" t="s">
        <v>676</v>
      </c>
      <c r="F802" s="66">
        <f>F803</f>
        <v>30</v>
      </c>
      <c r="G802" s="66">
        <f>G803</f>
        <v>30</v>
      </c>
      <c r="H802" s="66">
        <f>H803</f>
        <v>30</v>
      </c>
    </row>
    <row r="803" spans="1:8" ht="48.75" customHeight="1" x14ac:dyDescent="0.2">
      <c r="A803" s="27" t="s">
        <v>677</v>
      </c>
      <c r="B803" s="9" t="s">
        <v>13</v>
      </c>
      <c r="C803" s="9"/>
      <c r="D803" s="9"/>
      <c r="E803" s="10" t="s">
        <v>678</v>
      </c>
      <c r="F803" s="66">
        <f t="shared" ref="F803:H804" si="153">F804</f>
        <v>30</v>
      </c>
      <c r="G803" s="66">
        <f t="shared" si="153"/>
        <v>30</v>
      </c>
      <c r="H803" s="66">
        <f t="shared" si="153"/>
        <v>30</v>
      </c>
    </row>
    <row r="804" spans="1:8" ht="22.5" customHeight="1" x14ac:dyDescent="0.2">
      <c r="A804" s="27" t="s">
        <v>677</v>
      </c>
      <c r="B804" s="9" t="s">
        <v>217</v>
      </c>
      <c r="C804" s="9"/>
      <c r="D804" s="9"/>
      <c r="E804" s="12" t="s">
        <v>218</v>
      </c>
      <c r="F804" s="66">
        <f t="shared" si="153"/>
        <v>30</v>
      </c>
      <c r="G804" s="66">
        <f t="shared" si="153"/>
        <v>30</v>
      </c>
      <c r="H804" s="66">
        <f t="shared" si="153"/>
        <v>30</v>
      </c>
    </row>
    <row r="805" spans="1:8" ht="35.25" customHeight="1" x14ac:dyDescent="0.2">
      <c r="A805" s="27" t="s">
        <v>677</v>
      </c>
      <c r="B805" s="9" t="s">
        <v>669</v>
      </c>
      <c r="C805" s="9" t="s">
        <v>64</v>
      </c>
      <c r="D805" s="9" t="s">
        <v>220</v>
      </c>
      <c r="E805" s="10" t="s">
        <v>670</v>
      </c>
      <c r="F805" s="70">
        <v>30</v>
      </c>
      <c r="G805" s="70">
        <v>30</v>
      </c>
      <c r="H805" s="70">
        <v>30</v>
      </c>
    </row>
    <row r="806" spans="1:8" ht="50.25" customHeight="1" x14ac:dyDescent="0.2">
      <c r="A806" s="9" t="s">
        <v>679</v>
      </c>
      <c r="B806" s="9" t="s">
        <v>13</v>
      </c>
      <c r="C806" s="9"/>
      <c r="D806" s="9"/>
      <c r="E806" s="10" t="s">
        <v>680</v>
      </c>
      <c r="F806" s="69">
        <f>F807+F827+F860</f>
        <v>216199.47738000003</v>
      </c>
      <c r="G806" s="69">
        <f>G807+G827+G860</f>
        <v>97327</v>
      </c>
      <c r="H806" s="69">
        <f>H807+H827+H860</f>
        <v>95283.3</v>
      </c>
    </row>
    <row r="807" spans="1:8" ht="31.5" customHeight="1" x14ac:dyDescent="0.2">
      <c r="A807" s="9" t="s">
        <v>681</v>
      </c>
      <c r="B807" s="9" t="s">
        <v>13</v>
      </c>
      <c r="C807" s="9"/>
      <c r="D807" s="9"/>
      <c r="E807" s="10" t="s">
        <v>682</v>
      </c>
      <c r="F807" s="69">
        <f>F808+F823</f>
        <v>75428.841889999996</v>
      </c>
      <c r="G807" s="69">
        <f>G808+G823</f>
        <v>25455.5</v>
      </c>
      <c r="H807" s="69">
        <f>H808+H823</f>
        <v>22978.799999999999</v>
      </c>
    </row>
    <row r="808" spans="1:8" ht="38.1" customHeight="1" x14ac:dyDescent="0.2">
      <c r="A808" s="9" t="s">
        <v>683</v>
      </c>
      <c r="B808" s="9" t="s">
        <v>13</v>
      </c>
      <c r="C808" s="9"/>
      <c r="D808" s="9"/>
      <c r="E808" s="12" t="s">
        <v>684</v>
      </c>
      <c r="F808" s="69">
        <f>F809+F812+F815+F820</f>
        <v>25839.066449999998</v>
      </c>
      <c r="G808" s="69">
        <f>G809+G812+G815+G820</f>
        <v>3955.5</v>
      </c>
      <c r="H808" s="69">
        <f>H809+H812+H815+H820</f>
        <v>1478.8</v>
      </c>
    </row>
    <row r="809" spans="1:8" ht="38.1" customHeight="1" x14ac:dyDescent="0.2">
      <c r="A809" s="9" t="s">
        <v>685</v>
      </c>
      <c r="B809" s="9" t="s">
        <v>13</v>
      </c>
      <c r="C809" s="9"/>
      <c r="D809" s="9"/>
      <c r="E809" s="10" t="s">
        <v>686</v>
      </c>
      <c r="F809" s="66">
        <f>F811</f>
        <v>2451.9</v>
      </c>
      <c r="G809" s="66">
        <f>G811</f>
        <v>2451.9</v>
      </c>
      <c r="H809" s="66">
        <f>H811</f>
        <v>0</v>
      </c>
    </row>
    <row r="810" spans="1:8" ht="38.1" customHeight="1" x14ac:dyDescent="0.2">
      <c r="A810" s="9" t="s">
        <v>685</v>
      </c>
      <c r="B810" s="9" t="s">
        <v>61</v>
      </c>
      <c r="C810" s="9"/>
      <c r="D810" s="9"/>
      <c r="E810" s="10" t="s">
        <v>62</v>
      </c>
      <c r="F810" s="66">
        <f>F811</f>
        <v>2451.9</v>
      </c>
      <c r="G810" s="66">
        <f>G811</f>
        <v>2451.9</v>
      </c>
      <c r="H810" s="66">
        <f>H811</f>
        <v>0</v>
      </c>
    </row>
    <row r="811" spans="1:8" ht="38.1" customHeight="1" x14ac:dyDescent="0.2">
      <c r="A811" s="9" t="s">
        <v>685</v>
      </c>
      <c r="B811" s="9" t="s">
        <v>63</v>
      </c>
      <c r="C811" s="9" t="s">
        <v>64</v>
      </c>
      <c r="D811" s="9" t="s">
        <v>401</v>
      </c>
      <c r="E811" s="10" t="s">
        <v>65</v>
      </c>
      <c r="F811" s="66">
        <v>2451.9</v>
      </c>
      <c r="G811" s="66">
        <v>2451.9</v>
      </c>
      <c r="H811" s="66">
        <v>0</v>
      </c>
    </row>
    <row r="812" spans="1:8" ht="26.1" customHeight="1" x14ac:dyDescent="0.2">
      <c r="A812" s="9" t="s">
        <v>687</v>
      </c>
      <c r="B812" s="9" t="s">
        <v>13</v>
      </c>
      <c r="C812" s="9"/>
      <c r="D812" s="9"/>
      <c r="E812" s="10" t="s">
        <v>688</v>
      </c>
      <c r="F812" s="66">
        <f>F814</f>
        <v>8090.3953699999993</v>
      </c>
      <c r="G812" s="66">
        <f>G814</f>
        <v>24.8</v>
      </c>
      <c r="H812" s="66">
        <f>H814</f>
        <v>0</v>
      </c>
    </row>
    <row r="813" spans="1:8" ht="38.1" customHeight="1" x14ac:dyDescent="0.2">
      <c r="A813" s="9" t="s">
        <v>687</v>
      </c>
      <c r="B813" s="9" t="s">
        <v>61</v>
      </c>
      <c r="C813" s="9"/>
      <c r="D813" s="9"/>
      <c r="E813" s="10" t="s">
        <v>62</v>
      </c>
      <c r="F813" s="66">
        <f>F814</f>
        <v>8090.3953699999993</v>
      </c>
      <c r="G813" s="66">
        <f>G814</f>
        <v>24.8</v>
      </c>
      <c r="H813" s="66">
        <f>H814</f>
        <v>0</v>
      </c>
    </row>
    <row r="814" spans="1:8" ht="38.1" customHeight="1" x14ac:dyDescent="0.2">
      <c r="A814" s="9" t="s">
        <v>687</v>
      </c>
      <c r="B814" s="9" t="s">
        <v>63</v>
      </c>
      <c r="C814" s="9" t="s">
        <v>64</v>
      </c>
      <c r="D814" s="9" t="s">
        <v>401</v>
      </c>
      <c r="E814" s="10" t="s">
        <v>65</v>
      </c>
      <c r="F814" s="77">
        <f>24.8+9748.01-1687.41463+5</f>
        <v>8090.3953699999993</v>
      </c>
      <c r="G814" s="66">
        <v>24.8</v>
      </c>
      <c r="H814" s="66">
        <v>0</v>
      </c>
    </row>
    <row r="815" spans="1:8" ht="27.95" customHeight="1" x14ac:dyDescent="0.2">
      <c r="A815" s="9" t="s">
        <v>689</v>
      </c>
      <c r="B815" s="9" t="s">
        <v>13</v>
      </c>
      <c r="C815" s="9"/>
      <c r="D815" s="9"/>
      <c r="E815" s="12" t="s">
        <v>690</v>
      </c>
      <c r="F815" s="66">
        <f>F816+F818</f>
        <v>8244.293169999999</v>
      </c>
      <c r="G815" s="66">
        <f>G818</f>
        <v>1478.8</v>
      </c>
      <c r="H815" s="66">
        <f>H818</f>
        <v>1478.8</v>
      </c>
    </row>
    <row r="816" spans="1:8" ht="38.1" customHeight="1" x14ac:dyDescent="0.2">
      <c r="A816" s="15" t="s">
        <v>689</v>
      </c>
      <c r="B816" s="15" t="s">
        <v>61</v>
      </c>
      <c r="C816" s="9"/>
      <c r="D816" s="9"/>
      <c r="E816" s="22" t="s">
        <v>62</v>
      </c>
      <c r="F816" s="66">
        <f t="shared" ref="F816:H816" si="154">F817</f>
        <v>6765.4931699999997</v>
      </c>
      <c r="G816" s="66">
        <f t="shared" si="154"/>
        <v>0</v>
      </c>
      <c r="H816" s="66">
        <f t="shared" si="154"/>
        <v>0</v>
      </c>
    </row>
    <row r="817" spans="1:8" ht="42" customHeight="1" x14ac:dyDescent="0.2">
      <c r="A817" s="15" t="s">
        <v>689</v>
      </c>
      <c r="B817" s="15" t="s">
        <v>63</v>
      </c>
      <c r="C817" s="9" t="s">
        <v>64</v>
      </c>
      <c r="D817" s="9" t="s">
        <v>401</v>
      </c>
      <c r="E817" s="22" t="s">
        <v>65</v>
      </c>
      <c r="F817" s="77">
        <f>5325.98603+1282.81736+156.68978</f>
        <v>6765.4931699999997</v>
      </c>
      <c r="G817" s="66">
        <v>0</v>
      </c>
      <c r="H817" s="66">
        <v>0</v>
      </c>
    </row>
    <row r="818" spans="1:8" ht="36.950000000000003" customHeight="1" x14ac:dyDescent="0.2">
      <c r="A818" s="9" t="s">
        <v>689</v>
      </c>
      <c r="B818" s="9" t="s">
        <v>21</v>
      </c>
      <c r="C818" s="9"/>
      <c r="D818" s="9"/>
      <c r="E818" s="12" t="s">
        <v>22</v>
      </c>
      <c r="F818" s="66">
        <f>F819</f>
        <v>1478.8</v>
      </c>
      <c r="G818" s="66">
        <f>G819</f>
        <v>1478.8</v>
      </c>
      <c r="H818" s="66">
        <f>H819</f>
        <v>1478.8</v>
      </c>
    </row>
    <row r="819" spans="1:8" ht="27" customHeight="1" x14ac:dyDescent="0.2">
      <c r="A819" s="9" t="s">
        <v>689</v>
      </c>
      <c r="B819" s="9" t="s">
        <v>23</v>
      </c>
      <c r="C819" s="9" t="s">
        <v>64</v>
      </c>
      <c r="D819" s="9" t="s">
        <v>401</v>
      </c>
      <c r="E819" s="12" t="s">
        <v>26</v>
      </c>
      <c r="F819" s="66">
        <v>1478.8</v>
      </c>
      <c r="G819" s="66">
        <v>1478.8</v>
      </c>
      <c r="H819" s="66">
        <v>1478.8</v>
      </c>
    </row>
    <row r="820" spans="1:8" ht="38.1" customHeight="1" x14ac:dyDescent="0.2">
      <c r="A820" s="9" t="s">
        <v>691</v>
      </c>
      <c r="B820" s="9" t="s">
        <v>13</v>
      </c>
      <c r="C820" s="9"/>
      <c r="D820" s="9"/>
      <c r="E820" s="12" t="s">
        <v>692</v>
      </c>
      <c r="F820" s="66">
        <f t="shared" ref="F820:H821" si="155">F821</f>
        <v>7052.4779099999996</v>
      </c>
      <c r="G820" s="66">
        <f t="shared" si="155"/>
        <v>0</v>
      </c>
      <c r="H820" s="66">
        <f t="shared" si="155"/>
        <v>0</v>
      </c>
    </row>
    <row r="821" spans="1:8" ht="38.1" customHeight="1" x14ac:dyDescent="0.2">
      <c r="A821" s="9" t="s">
        <v>691</v>
      </c>
      <c r="B821" s="9" t="s">
        <v>61</v>
      </c>
      <c r="C821" s="9"/>
      <c r="D821" s="9"/>
      <c r="E821" s="10" t="s">
        <v>62</v>
      </c>
      <c r="F821" s="66">
        <f t="shared" si="155"/>
        <v>7052.4779099999996</v>
      </c>
      <c r="G821" s="66">
        <f t="shared" si="155"/>
        <v>0</v>
      </c>
      <c r="H821" s="66">
        <f t="shared" si="155"/>
        <v>0</v>
      </c>
    </row>
    <row r="822" spans="1:8" ht="38.1" customHeight="1" x14ac:dyDescent="0.2">
      <c r="A822" s="9" t="s">
        <v>691</v>
      </c>
      <c r="B822" s="9" t="s">
        <v>63</v>
      </c>
      <c r="C822" s="9" t="s">
        <v>64</v>
      </c>
      <c r="D822" s="9" t="s">
        <v>401</v>
      </c>
      <c r="E822" s="10" t="s">
        <v>65</v>
      </c>
      <c r="F822" s="77">
        <f>4934.8-924.54409+3000-0.97703+0.00003+43.199</f>
        <v>7052.4779099999996</v>
      </c>
      <c r="G822" s="66">
        <v>0</v>
      </c>
      <c r="H822" s="66">
        <v>0</v>
      </c>
    </row>
    <row r="823" spans="1:8" ht="38.1" customHeight="1" x14ac:dyDescent="0.2">
      <c r="A823" s="9" t="s">
        <v>693</v>
      </c>
      <c r="B823" s="9" t="s">
        <v>13</v>
      </c>
      <c r="C823" s="9"/>
      <c r="D823" s="9"/>
      <c r="E823" s="12" t="s">
        <v>694</v>
      </c>
      <c r="F823" s="69">
        <f>F824</f>
        <v>49589.775439999998</v>
      </c>
      <c r="G823" s="69">
        <f t="shared" ref="F823:H825" si="156">G824</f>
        <v>21500</v>
      </c>
      <c r="H823" s="69">
        <f t="shared" si="156"/>
        <v>21500</v>
      </c>
    </row>
    <row r="824" spans="1:8" ht="38.1" customHeight="1" x14ac:dyDescent="0.2">
      <c r="A824" s="9" t="s">
        <v>695</v>
      </c>
      <c r="B824" s="9" t="s">
        <v>13</v>
      </c>
      <c r="C824" s="9"/>
      <c r="D824" s="9"/>
      <c r="E824" s="12" t="s">
        <v>696</v>
      </c>
      <c r="F824" s="66">
        <f t="shared" si="156"/>
        <v>49589.775439999998</v>
      </c>
      <c r="G824" s="66">
        <f t="shared" si="156"/>
        <v>21500</v>
      </c>
      <c r="H824" s="66">
        <f t="shared" si="156"/>
        <v>21500</v>
      </c>
    </row>
    <row r="825" spans="1:8" ht="38.1" customHeight="1" x14ac:dyDescent="0.2">
      <c r="A825" s="9" t="s">
        <v>695</v>
      </c>
      <c r="B825" s="9" t="s">
        <v>61</v>
      </c>
      <c r="C825" s="9"/>
      <c r="D825" s="9"/>
      <c r="E825" s="10" t="s">
        <v>62</v>
      </c>
      <c r="F825" s="66">
        <f t="shared" si="156"/>
        <v>49589.775439999998</v>
      </c>
      <c r="G825" s="66">
        <f t="shared" si="156"/>
        <v>21500</v>
      </c>
      <c r="H825" s="66">
        <f t="shared" si="156"/>
        <v>21500</v>
      </c>
    </row>
    <row r="826" spans="1:8" ht="38.1" customHeight="1" x14ac:dyDescent="0.2">
      <c r="A826" s="9" t="s">
        <v>695</v>
      </c>
      <c r="B826" s="9" t="s">
        <v>63</v>
      </c>
      <c r="C826" s="9" t="s">
        <v>64</v>
      </c>
      <c r="D826" s="9" t="s">
        <v>401</v>
      </c>
      <c r="E826" s="10" t="s">
        <v>65</v>
      </c>
      <c r="F826" s="77">
        <f>18000+23500+766.824+200+7192.95144-70</f>
        <v>49589.775439999998</v>
      </c>
      <c r="G826" s="66">
        <f>41500-20000</f>
        <v>21500</v>
      </c>
      <c r="H826" s="66">
        <f>41500-20000</f>
        <v>21500</v>
      </c>
    </row>
    <row r="827" spans="1:8" ht="51.95" customHeight="1" x14ac:dyDescent="0.2">
      <c r="A827" s="9" t="s">
        <v>697</v>
      </c>
      <c r="B827" s="9" t="s">
        <v>13</v>
      </c>
      <c r="C827" s="9"/>
      <c r="D827" s="9"/>
      <c r="E827" s="12" t="s">
        <v>698</v>
      </c>
      <c r="F827" s="69">
        <f>F828+F838</f>
        <v>118893.65267000001</v>
      </c>
      <c r="G827" s="69">
        <f>G828+G838</f>
        <v>71871.5</v>
      </c>
      <c r="H827" s="69">
        <f>H828+H838</f>
        <v>72304.5</v>
      </c>
    </row>
    <row r="828" spans="1:8" ht="38.1" customHeight="1" x14ac:dyDescent="0.2">
      <c r="A828" s="9" t="s">
        <v>699</v>
      </c>
      <c r="B828" s="9" t="s">
        <v>13</v>
      </c>
      <c r="C828" s="9"/>
      <c r="D828" s="9"/>
      <c r="E828" s="12" t="s">
        <v>700</v>
      </c>
      <c r="F828" s="69">
        <f>F829+F832+F835</f>
        <v>39820.800000000003</v>
      </c>
      <c r="G828" s="69">
        <f>G829+G832+G835</f>
        <v>36500.5</v>
      </c>
      <c r="H828" s="69">
        <f>H829+H832+H835</f>
        <v>36500.5</v>
      </c>
    </row>
    <row r="829" spans="1:8" ht="38.1" customHeight="1" x14ac:dyDescent="0.2">
      <c r="A829" s="9" t="s">
        <v>701</v>
      </c>
      <c r="B829" s="9" t="s">
        <v>13</v>
      </c>
      <c r="C829" s="9"/>
      <c r="D829" s="9"/>
      <c r="E829" s="10" t="s">
        <v>702</v>
      </c>
      <c r="F829" s="66">
        <f>F831</f>
        <v>4500</v>
      </c>
      <c r="G829" s="66">
        <f>G831</f>
        <v>3500</v>
      </c>
      <c r="H829" s="66">
        <f>H831</f>
        <v>3500</v>
      </c>
    </row>
    <row r="830" spans="1:8" ht="38.1" customHeight="1" x14ac:dyDescent="0.2">
      <c r="A830" s="9" t="s">
        <v>701</v>
      </c>
      <c r="B830" s="9" t="s">
        <v>21</v>
      </c>
      <c r="C830" s="9"/>
      <c r="D830" s="9"/>
      <c r="E830" s="12" t="s">
        <v>22</v>
      </c>
      <c r="F830" s="66">
        <f>F831</f>
        <v>4500</v>
      </c>
      <c r="G830" s="66">
        <f>G831</f>
        <v>3500</v>
      </c>
      <c r="H830" s="66">
        <f>H831</f>
        <v>3500</v>
      </c>
    </row>
    <row r="831" spans="1:8" ht="21" customHeight="1" x14ac:dyDescent="0.2">
      <c r="A831" s="9" t="s">
        <v>701</v>
      </c>
      <c r="B831" s="14" t="s">
        <v>23</v>
      </c>
      <c r="C831" s="14" t="s">
        <v>64</v>
      </c>
      <c r="D831" s="14" t="s">
        <v>401</v>
      </c>
      <c r="E831" s="12" t="s">
        <v>26</v>
      </c>
      <c r="F831" s="66">
        <v>4500</v>
      </c>
      <c r="G831" s="66">
        <v>3500</v>
      </c>
      <c r="H831" s="66">
        <v>3500</v>
      </c>
    </row>
    <row r="832" spans="1:8" ht="36" customHeight="1" x14ac:dyDescent="0.2">
      <c r="A832" s="9" t="s">
        <v>703</v>
      </c>
      <c r="B832" s="9" t="s">
        <v>13</v>
      </c>
      <c r="C832" s="9"/>
      <c r="D832" s="9"/>
      <c r="E832" s="16" t="s">
        <v>405</v>
      </c>
      <c r="F832" s="66">
        <f t="shared" ref="F832:H833" si="157">F833</f>
        <v>8300</v>
      </c>
      <c r="G832" s="66">
        <f t="shared" si="157"/>
        <v>6000</v>
      </c>
      <c r="H832" s="66">
        <f t="shared" si="157"/>
        <v>6000</v>
      </c>
    </row>
    <row r="833" spans="1:8" ht="38.1" customHeight="1" x14ac:dyDescent="0.2">
      <c r="A833" s="9" t="s">
        <v>703</v>
      </c>
      <c r="B833" s="9" t="s">
        <v>61</v>
      </c>
      <c r="C833" s="9"/>
      <c r="D833" s="9"/>
      <c r="E833" s="10" t="s">
        <v>62</v>
      </c>
      <c r="F833" s="66">
        <f t="shared" si="157"/>
        <v>8300</v>
      </c>
      <c r="G833" s="66">
        <f t="shared" si="157"/>
        <v>6000</v>
      </c>
      <c r="H833" s="66">
        <f t="shared" si="157"/>
        <v>6000</v>
      </c>
    </row>
    <row r="834" spans="1:8" ht="38.1" customHeight="1" x14ac:dyDescent="0.2">
      <c r="A834" s="9" t="s">
        <v>703</v>
      </c>
      <c r="B834" s="9" t="s">
        <v>63</v>
      </c>
      <c r="C834" s="14" t="s">
        <v>64</v>
      </c>
      <c r="D834" s="14" t="s">
        <v>401</v>
      </c>
      <c r="E834" s="10" t="s">
        <v>65</v>
      </c>
      <c r="F834" s="66">
        <f>6000+2300</f>
        <v>8300</v>
      </c>
      <c r="G834" s="66">
        <v>6000</v>
      </c>
      <c r="H834" s="66">
        <v>6000</v>
      </c>
    </row>
    <row r="835" spans="1:8" ht="39" customHeight="1" x14ac:dyDescent="0.2">
      <c r="A835" s="9" t="s">
        <v>704</v>
      </c>
      <c r="B835" s="9" t="s">
        <v>13</v>
      </c>
      <c r="C835" s="9"/>
      <c r="D835" s="9"/>
      <c r="E835" s="10" t="s">
        <v>705</v>
      </c>
      <c r="F835" s="66">
        <f t="shared" ref="F835:H836" si="158">F836</f>
        <v>27020.799999999999</v>
      </c>
      <c r="G835" s="66">
        <f t="shared" si="158"/>
        <v>27000.5</v>
      </c>
      <c r="H835" s="66">
        <f t="shared" si="158"/>
        <v>27000.5</v>
      </c>
    </row>
    <row r="836" spans="1:8" ht="38.1" customHeight="1" x14ac:dyDescent="0.2">
      <c r="A836" s="9" t="s">
        <v>704</v>
      </c>
      <c r="B836" s="9" t="s">
        <v>61</v>
      </c>
      <c r="C836" s="9"/>
      <c r="D836" s="9"/>
      <c r="E836" s="10" t="s">
        <v>62</v>
      </c>
      <c r="F836" s="66">
        <f t="shared" si="158"/>
        <v>27020.799999999999</v>
      </c>
      <c r="G836" s="66">
        <f t="shared" si="158"/>
        <v>27000.5</v>
      </c>
      <c r="H836" s="66">
        <f t="shared" si="158"/>
        <v>27000.5</v>
      </c>
    </row>
    <row r="837" spans="1:8" ht="38.1" customHeight="1" x14ac:dyDescent="0.2">
      <c r="A837" s="9" t="s">
        <v>704</v>
      </c>
      <c r="B837" s="9" t="s">
        <v>63</v>
      </c>
      <c r="C837" s="14" t="s">
        <v>64</v>
      </c>
      <c r="D837" s="14" t="s">
        <v>401</v>
      </c>
      <c r="E837" s="10" t="s">
        <v>65</v>
      </c>
      <c r="F837" s="66">
        <v>27020.799999999999</v>
      </c>
      <c r="G837" s="66">
        <f>27020.8-20.3</f>
        <v>27000.5</v>
      </c>
      <c r="H837" s="66">
        <f>27020.8-20.3</f>
        <v>27000.5</v>
      </c>
    </row>
    <row r="838" spans="1:8" ht="38.1" customHeight="1" x14ac:dyDescent="0.2">
      <c r="A838" s="9" t="s">
        <v>706</v>
      </c>
      <c r="B838" s="9" t="s">
        <v>13</v>
      </c>
      <c r="C838" s="9"/>
      <c r="D838" s="9"/>
      <c r="E838" s="12" t="s">
        <v>707</v>
      </c>
      <c r="F838" s="69">
        <f>F839+F842+F847+F852+F857</f>
        <v>79072.852670000007</v>
      </c>
      <c r="G838" s="69">
        <f>G839+G842+G847+G852+G857</f>
        <v>35371</v>
      </c>
      <c r="H838" s="69">
        <f>H839+H842+H847+H852+H857</f>
        <v>35804</v>
      </c>
    </row>
    <row r="839" spans="1:8" ht="50.25" customHeight="1" x14ac:dyDescent="0.2">
      <c r="A839" s="9" t="s">
        <v>708</v>
      </c>
      <c r="B839" s="9" t="s">
        <v>13</v>
      </c>
      <c r="C839" s="9"/>
      <c r="D839" s="9"/>
      <c r="E839" s="12" t="s">
        <v>709</v>
      </c>
      <c r="F839" s="66">
        <f t="shared" ref="F839:H840" si="159">F840</f>
        <v>14000</v>
      </c>
      <c r="G839" s="66">
        <f>G840</f>
        <v>0</v>
      </c>
      <c r="H839" s="66">
        <f>H840</f>
        <v>433</v>
      </c>
    </row>
    <row r="840" spans="1:8" ht="35.1" customHeight="1" x14ac:dyDescent="0.2">
      <c r="A840" s="9" t="s">
        <v>708</v>
      </c>
      <c r="B840" s="9" t="s">
        <v>21</v>
      </c>
      <c r="C840" s="9"/>
      <c r="D840" s="9"/>
      <c r="E840" s="12" t="s">
        <v>22</v>
      </c>
      <c r="F840" s="66">
        <f t="shared" si="159"/>
        <v>14000</v>
      </c>
      <c r="G840" s="66">
        <f t="shared" si="159"/>
        <v>0</v>
      </c>
      <c r="H840" s="66">
        <f t="shared" si="159"/>
        <v>433</v>
      </c>
    </row>
    <row r="841" spans="1:8" ht="20.25" customHeight="1" x14ac:dyDescent="0.2">
      <c r="A841" s="9" t="s">
        <v>708</v>
      </c>
      <c r="B841" s="14" t="s">
        <v>23</v>
      </c>
      <c r="C841" s="14" t="s">
        <v>64</v>
      </c>
      <c r="D841" s="14" t="s">
        <v>463</v>
      </c>
      <c r="E841" s="12" t="s">
        <v>26</v>
      </c>
      <c r="F841" s="77">
        <f>14000+400-400</f>
        <v>14000</v>
      </c>
      <c r="G841" s="77">
        <f>14000-14000</f>
        <v>0</v>
      </c>
      <c r="H841" s="66">
        <v>433</v>
      </c>
    </row>
    <row r="842" spans="1:8" ht="20.25" customHeight="1" x14ac:dyDescent="0.2">
      <c r="A842" s="14" t="s">
        <v>710</v>
      </c>
      <c r="B842" s="14" t="s">
        <v>13</v>
      </c>
      <c r="C842" s="14"/>
      <c r="D842" s="14"/>
      <c r="E842" s="10" t="s">
        <v>711</v>
      </c>
      <c r="F842" s="68">
        <f>F843+F845</f>
        <v>41610.037530000001</v>
      </c>
      <c r="G842" s="68">
        <f>G843+G845</f>
        <v>16923.2</v>
      </c>
      <c r="H842" s="68">
        <f>H843+H845</f>
        <v>16923.2</v>
      </c>
    </row>
    <row r="843" spans="1:8" ht="38.1" customHeight="1" x14ac:dyDescent="0.2">
      <c r="A843" s="14" t="s">
        <v>710</v>
      </c>
      <c r="B843" s="9" t="s">
        <v>61</v>
      </c>
      <c r="C843" s="9"/>
      <c r="D843" s="9"/>
      <c r="E843" s="10" t="s">
        <v>62</v>
      </c>
      <c r="F843" s="66">
        <f>F844</f>
        <v>29610.037530000001</v>
      </c>
      <c r="G843" s="66">
        <f>G844</f>
        <v>10923.2</v>
      </c>
      <c r="H843" s="66">
        <f>H844</f>
        <v>10923.2</v>
      </c>
    </row>
    <row r="844" spans="1:8" ht="30.95" customHeight="1" x14ac:dyDescent="0.2">
      <c r="A844" s="14" t="s">
        <v>710</v>
      </c>
      <c r="B844" s="9" t="s">
        <v>63</v>
      </c>
      <c r="C844" s="9" t="s">
        <v>64</v>
      </c>
      <c r="D844" s="9" t="s">
        <v>401</v>
      </c>
      <c r="E844" s="10" t="s">
        <v>65</v>
      </c>
      <c r="F844" s="77">
        <f>22902.9+399.98797+6134.42-156.68978+452.61837-0.00003+70-43.199-150</f>
        <v>29610.037530000001</v>
      </c>
      <c r="G844" s="66">
        <f>22902.9-12000+20.3</f>
        <v>10923.2</v>
      </c>
      <c r="H844" s="66">
        <f>22902.9-12000+20.3</f>
        <v>10923.2</v>
      </c>
    </row>
    <row r="845" spans="1:8" ht="36" customHeight="1" x14ac:dyDescent="0.2">
      <c r="A845" s="14" t="s">
        <v>710</v>
      </c>
      <c r="B845" s="9" t="s">
        <v>21</v>
      </c>
      <c r="C845" s="9"/>
      <c r="D845" s="9"/>
      <c r="E845" s="10" t="s">
        <v>22</v>
      </c>
      <c r="F845" s="66">
        <f>F846</f>
        <v>12000</v>
      </c>
      <c r="G845" s="66">
        <f>G846</f>
        <v>6000</v>
      </c>
      <c r="H845" s="66">
        <f>H846</f>
        <v>6000</v>
      </c>
    </row>
    <row r="846" spans="1:8" ht="20.25" customHeight="1" x14ac:dyDescent="0.2">
      <c r="A846" s="14" t="s">
        <v>710</v>
      </c>
      <c r="B846" s="14" t="s">
        <v>23</v>
      </c>
      <c r="C846" s="14" t="s">
        <v>64</v>
      </c>
      <c r="D846" s="14" t="s">
        <v>401</v>
      </c>
      <c r="E846" s="10" t="s">
        <v>26</v>
      </c>
      <c r="F846" s="66">
        <v>12000</v>
      </c>
      <c r="G846" s="66">
        <v>6000</v>
      </c>
      <c r="H846" s="66">
        <v>6000</v>
      </c>
    </row>
    <row r="847" spans="1:8" ht="26.1" customHeight="1" x14ac:dyDescent="0.2">
      <c r="A847" s="14" t="s">
        <v>712</v>
      </c>
      <c r="B847" s="14" t="s">
        <v>13</v>
      </c>
      <c r="C847" s="14"/>
      <c r="D847" s="14"/>
      <c r="E847" s="12" t="s">
        <v>713</v>
      </c>
      <c r="F847" s="66">
        <f>F848+F850</f>
        <v>18281.265680000004</v>
      </c>
      <c r="G847" s="66">
        <f>G848+G850</f>
        <v>14958.1</v>
      </c>
      <c r="H847" s="66">
        <f>H848+H850</f>
        <v>14958.1</v>
      </c>
    </row>
    <row r="848" spans="1:8" ht="38.1" customHeight="1" x14ac:dyDescent="0.2">
      <c r="A848" s="14" t="s">
        <v>712</v>
      </c>
      <c r="B848" s="9" t="s">
        <v>61</v>
      </c>
      <c r="C848" s="9"/>
      <c r="D848" s="9"/>
      <c r="E848" s="10" t="s">
        <v>62</v>
      </c>
      <c r="F848" s="66">
        <f t="shared" ref="F848:F853" si="160">F849</f>
        <v>10343.165680000002</v>
      </c>
      <c r="G848" s="66">
        <f t="shared" ref="G848:G853" si="161">G849</f>
        <v>10000</v>
      </c>
      <c r="H848" s="66">
        <f t="shared" ref="H848:H853" si="162">H849</f>
        <v>10000</v>
      </c>
    </row>
    <row r="849" spans="1:8" ht="36.950000000000003" customHeight="1" x14ac:dyDescent="0.2">
      <c r="A849" s="14" t="s">
        <v>712</v>
      </c>
      <c r="B849" s="9" t="s">
        <v>63</v>
      </c>
      <c r="C849" s="9" t="s">
        <v>64</v>
      </c>
      <c r="D849" s="9" t="s">
        <v>401</v>
      </c>
      <c r="E849" s="10" t="s">
        <v>65</v>
      </c>
      <c r="F849" s="77">
        <f>18189.2-9748.01-1541.84946-766.824-4038.55937-358.27327+8664.12312-56.64134</f>
        <v>10343.165680000002</v>
      </c>
      <c r="G849" s="66">
        <v>10000</v>
      </c>
      <c r="H849" s="66">
        <v>10000</v>
      </c>
    </row>
    <row r="850" spans="1:8" ht="36.950000000000003" customHeight="1" x14ac:dyDescent="0.2">
      <c r="A850" s="14" t="s">
        <v>712</v>
      </c>
      <c r="B850" s="9" t="s">
        <v>21</v>
      </c>
      <c r="C850" s="9"/>
      <c r="D850" s="9"/>
      <c r="E850" s="10" t="s">
        <v>22</v>
      </c>
      <c r="F850" s="66">
        <f t="shared" si="160"/>
        <v>7938.1</v>
      </c>
      <c r="G850" s="66">
        <f t="shared" si="161"/>
        <v>4958.1000000000004</v>
      </c>
      <c r="H850" s="66">
        <f t="shared" si="162"/>
        <v>4958.1000000000004</v>
      </c>
    </row>
    <row r="851" spans="1:8" ht="21.95" customHeight="1" x14ac:dyDescent="0.2">
      <c r="A851" s="14" t="s">
        <v>712</v>
      </c>
      <c r="B851" s="14" t="s">
        <v>23</v>
      </c>
      <c r="C851" s="14" t="s">
        <v>64</v>
      </c>
      <c r="D851" s="14" t="s">
        <v>401</v>
      </c>
      <c r="E851" s="10" t="s">
        <v>26</v>
      </c>
      <c r="F851" s="66">
        <f>4958.1+2980</f>
        <v>7938.1</v>
      </c>
      <c r="G851" s="68">
        <v>4958.1000000000004</v>
      </c>
      <c r="H851" s="68">
        <v>4958.1000000000004</v>
      </c>
    </row>
    <row r="852" spans="1:8" ht="26.1" customHeight="1" x14ac:dyDescent="0.2">
      <c r="A852" s="14" t="s">
        <v>714</v>
      </c>
      <c r="B852" s="14" t="s">
        <v>13</v>
      </c>
      <c r="C852" s="14"/>
      <c r="D852" s="14"/>
      <c r="E852" s="12" t="s">
        <v>715</v>
      </c>
      <c r="F852" s="68">
        <f>F853+F855</f>
        <v>4181.5494600000002</v>
      </c>
      <c r="G852" s="68">
        <f>G855</f>
        <v>2489.6999999999998</v>
      </c>
      <c r="H852" s="68">
        <f>H855</f>
        <v>2489.6999999999998</v>
      </c>
    </row>
    <row r="853" spans="1:8" ht="34.5" customHeight="1" x14ac:dyDescent="0.2">
      <c r="A853" s="9" t="s">
        <v>714</v>
      </c>
      <c r="B853" s="15" t="s">
        <v>61</v>
      </c>
      <c r="C853" s="14"/>
      <c r="D853" s="14"/>
      <c r="E853" s="22" t="s">
        <v>62</v>
      </c>
      <c r="F853" s="66">
        <f t="shared" si="160"/>
        <v>1691.8494599999999</v>
      </c>
      <c r="G853" s="66">
        <f t="shared" si="161"/>
        <v>0</v>
      </c>
      <c r="H853" s="74">
        <f t="shared" si="162"/>
        <v>0</v>
      </c>
    </row>
    <row r="854" spans="1:8" ht="36" customHeight="1" x14ac:dyDescent="0.2">
      <c r="A854" s="9" t="s">
        <v>714</v>
      </c>
      <c r="B854" s="15" t="s">
        <v>63</v>
      </c>
      <c r="C854" s="14" t="s">
        <v>64</v>
      </c>
      <c r="D854" s="14" t="s">
        <v>401</v>
      </c>
      <c r="E854" s="22" t="s">
        <v>65</v>
      </c>
      <c r="F854" s="77">
        <f>1541.84946+150</f>
        <v>1691.8494599999999</v>
      </c>
      <c r="G854" s="66">
        <v>0</v>
      </c>
      <c r="H854" s="74">
        <v>0</v>
      </c>
    </row>
    <row r="855" spans="1:8" ht="35.25" customHeight="1" x14ac:dyDescent="0.2">
      <c r="A855" s="9" t="s">
        <v>714</v>
      </c>
      <c r="B855" s="9" t="s">
        <v>21</v>
      </c>
      <c r="C855" s="9"/>
      <c r="D855" s="9"/>
      <c r="E855" s="12" t="s">
        <v>22</v>
      </c>
      <c r="F855" s="66">
        <f>F856</f>
        <v>2489.6999999999998</v>
      </c>
      <c r="G855" s="66">
        <f>G856</f>
        <v>2489.6999999999998</v>
      </c>
      <c r="H855" s="66">
        <f>H856</f>
        <v>2489.6999999999998</v>
      </c>
    </row>
    <row r="856" spans="1:8" ht="19.5" customHeight="1" x14ac:dyDescent="0.2">
      <c r="A856" s="14" t="s">
        <v>714</v>
      </c>
      <c r="B856" s="14" t="s">
        <v>23</v>
      </c>
      <c r="C856" s="14" t="s">
        <v>64</v>
      </c>
      <c r="D856" s="14" t="s">
        <v>401</v>
      </c>
      <c r="E856" s="12" t="s">
        <v>26</v>
      </c>
      <c r="F856" s="68">
        <v>2489.6999999999998</v>
      </c>
      <c r="G856" s="68">
        <v>2489.6999999999998</v>
      </c>
      <c r="H856" s="68">
        <v>2489.6999999999998</v>
      </c>
    </row>
    <row r="857" spans="1:8" ht="49.5" customHeight="1" x14ac:dyDescent="0.2">
      <c r="A857" s="9" t="s">
        <v>716</v>
      </c>
      <c r="B857" s="9" t="s">
        <v>13</v>
      </c>
      <c r="C857" s="9"/>
      <c r="D857" s="9"/>
      <c r="E857" s="12" t="s">
        <v>717</v>
      </c>
      <c r="F857" s="66">
        <f t="shared" ref="F857:H858" si="163">F858</f>
        <v>1000</v>
      </c>
      <c r="G857" s="66">
        <f t="shared" si="163"/>
        <v>1000</v>
      </c>
      <c r="H857" s="66">
        <f t="shared" si="163"/>
        <v>1000</v>
      </c>
    </row>
    <row r="858" spans="1:8" ht="33" customHeight="1" x14ac:dyDescent="0.2">
      <c r="A858" s="9" t="s">
        <v>716</v>
      </c>
      <c r="B858" s="9" t="s">
        <v>61</v>
      </c>
      <c r="C858" s="9"/>
      <c r="D858" s="9"/>
      <c r="E858" s="10" t="s">
        <v>62</v>
      </c>
      <c r="F858" s="66">
        <f t="shared" si="163"/>
        <v>1000</v>
      </c>
      <c r="G858" s="66">
        <f t="shared" si="163"/>
        <v>1000</v>
      </c>
      <c r="H858" s="66">
        <f t="shared" si="163"/>
        <v>1000</v>
      </c>
    </row>
    <row r="859" spans="1:8" ht="36.950000000000003" customHeight="1" x14ac:dyDescent="0.2">
      <c r="A859" s="9" t="s">
        <v>716</v>
      </c>
      <c r="B859" s="9" t="s">
        <v>63</v>
      </c>
      <c r="C859" s="9" t="s">
        <v>64</v>
      </c>
      <c r="D859" s="9" t="s">
        <v>401</v>
      </c>
      <c r="E859" s="10" t="s">
        <v>65</v>
      </c>
      <c r="F859" s="66">
        <f>450+550</f>
        <v>1000</v>
      </c>
      <c r="G859" s="66">
        <v>1000</v>
      </c>
      <c r="H859" s="66">
        <v>1000</v>
      </c>
    </row>
    <row r="860" spans="1:8" ht="36.950000000000003" customHeight="1" x14ac:dyDescent="0.2">
      <c r="A860" s="9" t="s">
        <v>718</v>
      </c>
      <c r="B860" s="9" t="s">
        <v>13</v>
      </c>
      <c r="C860" s="9"/>
      <c r="D860" s="9"/>
      <c r="E860" s="10" t="s">
        <v>719</v>
      </c>
      <c r="F860" s="66">
        <f>F861</f>
        <v>21876.982820000005</v>
      </c>
      <c r="G860" s="66">
        <f>G861</f>
        <v>0</v>
      </c>
      <c r="H860" s="66">
        <f>H861</f>
        <v>0</v>
      </c>
    </row>
    <row r="861" spans="1:8" ht="39" customHeight="1" x14ac:dyDescent="0.2">
      <c r="A861" s="15" t="s">
        <v>720</v>
      </c>
      <c r="B861" s="15" t="s">
        <v>13</v>
      </c>
      <c r="C861" s="9"/>
      <c r="D861" s="9"/>
      <c r="E861" s="21" t="s">
        <v>721</v>
      </c>
      <c r="F861" s="66">
        <f>F904+F862+F865+F868+F871+F874+F877+F880+F883+F886+F889+F892+F895+F898+F901</f>
        <v>21876.982820000005</v>
      </c>
      <c r="G861" s="66">
        <f>G904</f>
        <v>0</v>
      </c>
      <c r="H861" s="66">
        <f>H904</f>
        <v>0</v>
      </c>
    </row>
    <row r="862" spans="1:8" ht="53.1" customHeight="1" x14ac:dyDescent="0.2">
      <c r="A862" s="15" t="s">
        <v>722</v>
      </c>
      <c r="B862" s="15" t="s">
        <v>13</v>
      </c>
      <c r="C862" s="9"/>
      <c r="D862" s="9"/>
      <c r="E862" s="20" t="s">
        <v>723</v>
      </c>
      <c r="F862" s="66">
        <f t="shared" ref="F862:H863" si="164">F863</f>
        <v>2656.4391100000003</v>
      </c>
      <c r="G862" s="66">
        <f t="shared" si="164"/>
        <v>0</v>
      </c>
      <c r="H862" s="66">
        <f t="shared" si="164"/>
        <v>0</v>
      </c>
    </row>
    <row r="863" spans="1:8" ht="39" customHeight="1" x14ac:dyDescent="0.2">
      <c r="A863" s="15" t="s">
        <v>722</v>
      </c>
      <c r="B863" s="15" t="s">
        <v>61</v>
      </c>
      <c r="C863" s="9"/>
      <c r="D863" s="9"/>
      <c r="E863" s="22" t="s">
        <v>62</v>
      </c>
      <c r="F863" s="66">
        <f t="shared" si="164"/>
        <v>2656.4391100000003</v>
      </c>
      <c r="G863" s="66">
        <f t="shared" si="164"/>
        <v>0</v>
      </c>
      <c r="H863" s="66">
        <f t="shared" si="164"/>
        <v>0</v>
      </c>
    </row>
    <row r="864" spans="1:8" ht="39" customHeight="1" x14ac:dyDescent="0.2">
      <c r="A864" s="15" t="s">
        <v>722</v>
      </c>
      <c r="B864" s="15" t="s">
        <v>63</v>
      </c>
      <c r="C864" s="9" t="s">
        <v>64</v>
      </c>
      <c r="D864" s="9" t="s">
        <v>401</v>
      </c>
      <c r="E864" s="22" t="s">
        <v>65</v>
      </c>
      <c r="F864" s="77">
        <f>2722.07-65.63089</f>
        <v>2656.4391100000003</v>
      </c>
      <c r="G864" s="66">
        <v>0</v>
      </c>
      <c r="H864" s="66">
        <v>0</v>
      </c>
    </row>
    <row r="865" spans="1:8" ht="51" customHeight="1" x14ac:dyDescent="0.2">
      <c r="A865" s="15" t="s">
        <v>724</v>
      </c>
      <c r="B865" s="15" t="s">
        <v>13</v>
      </c>
      <c r="C865" s="9"/>
      <c r="D865" s="9"/>
      <c r="E865" s="20" t="s">
        <v>723</v>
      </c>
      <c r="F865" s="66">
        <f t="shared" ref="F865:H866" si="165">F866</f>
        <v>362.43281000000002</v>
      </c>
      <c r="G865" s="66">
        <f t="shared" si="165"/>
        <v>0</v>
      </c>
      <c r="H865" s="66">
        <f t="shared" si="165"/>
        <v>0</v>
      </c>
    </row>
    <row r="866" spans="1:8" ht="39" customHeight="1" x14ac:dyDescent="0.2">
      <c r="A866" s="15" t="s">
        <v>724</v>
      </c>
      <c r="B866" s="15" t="s">
        <v>61</v>
      </c>
      <c r="C866" s="9"/>
      <c r="D866" s="9"/>
      <c r="E866" s="22" t="s">
        <v>62</v>
      </c>
      <c r="F866" s="66">
        <f t="shared" si="165"/>
        <v>362.43281000000002</v>
      </c>
      <c r="G866" s="66">
        <f t="shared" si="165"/>
        <v>0</v>
      </c>
      <c r="H866" s="66">
        <f t="shared" si="165"/>
        <v>0</v>
      </c>
    </row>
    <row r="867" spans="1:8" ht="39" customHeight="1" x14ac:dyDescent="0.2">
      <c r="A867" s="15" t="s">
        <v>724</v>
      </c>
      <c r="B867" s="15" t="s">
        <v>63</v>
      </c>
      <c r="C867" s="9" t="s">
        <v>64</v>
      </c>
      <c r="D867" s="9" t="s">
        <v>401</v>
      </c>
      <c r="E867" s="22" t="s">
        <v>65</v>
      </c>
      <c r="F867" s="77">
        <f>364-1.56719</f>
        <v>362.43281000000002</v>
      </c>
      <c r="G867" s="66">
        <v>0</v>
      </c>
      <c r="H867" s="66">
        <v>0</v>
      </c>
    </row>
    <row r="868" spans="1:8" ht="57.95" customHeight="1" x14ac:dyDescent="0.2">
      <c r="A868" s="15" t="s">
        <v>725</v>
      </c>
      <c r="B868" s="15" t="s">
        <v>13</v>
      </c>
      <c r="C868" s="9"/>
      <c r="D868" s="9"/>
      <c r="E868" s="20" t="s">
        <v>726</v>
      </c>
      <c r="F868" s="66">
        <f t="shared" ref="F868:H869" si="166">F869</f>
        <v>1558.1223400000003</v>
      </c>
      <c r="G868" s="66">
        <f t="shared" si="166"/>
        <v>0</v>
      </c>
      <c r="H868" s="66">
        <f t="shared" si="166"/>
        <v>0</v>
      </c>
    </row>
    <row r="869" spans="1:8" ht="39" customHeight="1" x14ac:dyDescent="0.2">
      <c r="A869" s="15" t="s">
        <v>725</v>
      </c>
      <c r="B869" s="15" t="s">
        <v>61</v>
      </c>
      <c r="C869" s="9"/>
      <c r="D869" s="9"/>
      <c r="E869" s="22" t="s">
        <v>62</v>
      </c>
      <c r="F869" s="66">
        <f t="shared" si="166"/>
        <v>1558.1223400000003</v>
      </c>
      <c r="G869" s="66">
        <f t="shared" si="166"/>
        <v>0</v>
      </c>
      <c r="H869" s="66">
        <f t="shared" si="166"/>
        <v>0</v>
      </c>
    </row>
    <row r="870" spans="1:8" ht="39" customHeight="1" x14ac:dyDescent="0.2">
      <c r="A870" s="15" t="s">
        <v>725</v>
      </c>
      <c r="B870" s="15" t="s">
        <v>63</v>
      </c>
      <c r="C870" s="9" t="s">
        <v>64</v>
      </c>
      <c r="D870" s="9" t="s">
        <v>401</v>
      </c>
      <c r="E870" s="22" t="s">
        <v>65</v>
      </c>
      <c r="F870" s="77">
        <f>2364.3-806.17766</f>
        <v>1558.1223400000003</v>
      </c>
      <c r="G870" s="66">
        <v>0</v>
      </c>
      <c r="H870" s="66">
        <v>0</v>
      </c>
    </row>
    <row r="871" spans="1:8" ht="54" customHeight="1" x14ac:dyDescent="0.2">
      <c r="A871" s="15" t="s">
        <v>727</v>
      </c>
      <c r="B871" s="15" t="s">
        <v>13</v>
      </c>
      <c r="C871" s="9"/>
      <c r="D871" s="9"/>
      <c r="E871" s="20" t="s">
        <v>726</v>
      </c>
      <c r="F871" s="66">
        <f t="shared" ref="F871:H872" si="167">F872</f>
        <v>185.67266999999998</v>
      </c>
      <c r="G871" s="66">
        <f t="shared" si="167"/>
        <v>0</v>
      </c>
      <c r="H871" s="66">
        <f t="shared" si="167"/>
        <v>0</v>
      </c>
    </row>
    <row r="872" spans="1:8" ht="39" customHeight="1" x14ac:dyDescent="0.2">
      <c r="A872" s="15" t="s">
        <v>727</v>
      </c>
      <c r="B872" s="15" t="s">
        <v>61</v>
      </c>
      <c r="C872" s="9"/>
      <c r="D872" s="9"/>
      <c r="E872" s="22" t="s">
        <v>62</v>
      </c>
      <c r="F872" s="66">
        <f t="shared" si="167"/>
        <v>185.67266999999998</v>
      </c>
      <c r="G872" s="66">
        <f t="shared" si="167"/>
        <v>0</v>
      </c>
      <c r="H872" s="66">
        <f t="shared" si="167"/>
        <v>0</v>
      </c>
    </row>
    <row r="873" spans="1:8" ht="39" customHeight="1" x14ac:dyDescent="0.2">
      <c r="A873" s="15" t="s">
        <v>727</v>
      </c>
      <c r="B873" s="15" t="s">
        <v>63</v>
      </c>
      <c r="C873" s="9" t="s">
        <v>64</v>
      </c>
      <c r="D873" s="9" t="s">
        <v>401</v>
      </c>
      <c r="E873" s="22" t="s">
        <v>65</v>
      </c>
      <c r="F873" s="77">
        <f>230-44.32733</f>
        <v>185.67266999999998</v>
      </c>
      <c r="G873" s="66">
        <v>0</v>
      </c>
      <c r="H873" s="66">
        <v>0</v>
      </c>
    </row>
    <row r="874" spans="1:8" ht="54.95" customHeight="1" x14ac:dyDescent="0.2">
      <c r="A874" s="15" t="s">
        <v>728</v>
      </c>
      <c r="B874" s="15" t="s">
        <v>13</v>
      </c>
      <c r="C874" s="9"/>
      <c r="D874" s="9"/>
      <c r="E874" s="20" t="s">
        <v>729</v>
      </c>
      <c r="F874" s="66">
        <f t="shared" ref="F874:H875" si="168">F875</f>
        <v>1596.47765</v>
      </c>
      <c r="G874" s="66">
        <f t="shared" si="168"/>
        <v>0</v>
      </c>
      <c r="H874" s="66">
        <f t="shared" si="168"/>
        <v>0</v>
      </c>
    </row>
    <row r="875" spans="1:8" ht="39" customHeight="1" x14ac:dyDescent="0.2">
      <c r="A875" s="15" t="s">
        <v>728</v>
      </c>
      <c r="B875" s="15" t="s">
        <v>61</v>
      </c>
      <c r="C875" s="9"/>
      <c r="D875" s="9"/>
      <c r="E875" s="22" t="s">
        <v>62</v>
      </c>
      <c r="F875" s="66">
        <f t="shared" si="168"/>
        <v>1596.47765</v>
      </c>
      <c r="G875" s="66">
        <f t="shared" si="168"/>
        <v>0</v>
      </c>
      <c r="H875" s="66">
        <f t="shared" si="168"/>
        <v>0</v>
      </c>
    </row>
    <row r="876" spans="1:8" ht="39" customHeight="1" x14ac:dyDescent="0.2">
      <c r="A876" s="15" t="s">
        <v>728</v>
      </c>
      <c r="B876" s="15" t="s">
        <v>63</v>
      </c>
      <c r="C876" s="9" t="s">
        <v>64</v>
      </c>
      <c r="D876" s="9" t="s">
        <v>401</v>
      </c>
      <c r="E876" s="22" t="s">
        <v>65</v>
      </c>
      <c r="F876" s="77">
        <f>2026.92-430.44235</f>
        <v>1596.47765</v>
      </c>
      <c r="G876" s="66">
        <v>0</v>
      </c>
      <c r="H876" s="66">
        <v>0</v>
      </c>
    </row>
    <row r="877" spans="1:8" ht="57.95" customHeight="1" x14ac:dyDescent="0.2">
      <c r="A877" s="15" t="s">
        <v>730</v>
      </c>
      <c r="B877" s="15" t="s">
        <v>13</v>
      </c>
      <c r="C877" s="9"/>
      <c r="D877" s="9"/>
      <c r="E877" s="20" t="s">
        <v>729</v>
      </c>
      <c r="F877" s="66">
        <f t="shared" ref="F877:H878" si="169">F878</f>
        <v>281</v>
      </c>
      <c r="G877" s="66">
        <f t="shared" si="169"/>
        <v>0</v>
      </c>
      <c r="H877" s="66">
        <f t="shared" si="169"/>
        <v>0</v>
      </c>
    </row>
    <row r="878" spans="1:8" ht="39" customHeight="1" x14ac:dyDescent="0.2">
      <c r="A878" s="15" t="s">
        <v>730</v>
      </c>
      <c r="B878" s="15" t="s">
        <v>61</v>
      </c>
      <c r="C878" s="9"/>
      <c r="D878" s="9"/>
      <c r="E878" s="22" t="s">
        <v>62</v>
      </c>
      <c r="F878" s="66">
        <f t="shared" si="169"/>
        <v>281</v>
      </c>
      <c r="G878" s="66">
        <f t="shared" si="169"/>
        <v>0</v>
      </c>
      <c r="H878" s="66">
        <f t="shared" si="169"/>
        <v>0</v>
      </c>
    </row>
    <row r="879" spans="1:8" ht="39" customHeight="1" x14ac:dyDescent="0.2">
      <c r="A879" s="15" t="s">
        <v>730</v>
      </c>
      <c r="B879" s="15" t="s">
        <v>63</v>
      </c>
      <c r="C879" s="9" t="s">
        <v>64</v>
      </c>
      <c r="D879" s="9" t="s">
        <v>401</v>
      </c>
      <c r="E879" s="22" t="s">
        <v>65</v>
      </c>
      <c r="F879" s="77">
        <f>291-10</f>
        <v>281</v>
      </c>
      <c r="G879" s="66">
        <v>0</v>
      </c>
      <c r="H879" s="66">
        <v>0</v>
      </c>
    </row>
    <row r="880" spans="1:8" ht="51.95" customHeight="1" x14ac:dyDescent="0.2">
      <c r="A880" s="15" t="s">
        <v>731</v>
      </c>
      <c r="B880" s="15" t="s">
        <v>13</v>
      </c>
      <c r="C880" s="9"/>
      <c r="D880" s="9"/>
      <c r="E880" s="20" t="s">
        <v>732</v>
      </c>
      <c r="F880" s="66">
        <f t="shared" ref="F880:H881" si="170">F881</f>
        <v>457.90551999999997</v>
      </c>
      <c r="G880" s="66">
        <f t="shared" si="170"/>
        <v>0</v>
      </c>
      <c r="H880" s="66">
        <f t="shared" si="170"/>
        <v>0</v>
      </c>
    </row>
    <row r="881" spans="1:8" ht="39" customHeight="1" x14ac:dyDescent="0.2">
      <c r="A881" s="15" t="s">
        <v>731</v>
      </c>
      <c r="B881" s="15" t="s">
        <v>61</v>
      </c>
      <c r="C881" s="9"/>
      <c r="D881" s="9"/>
      <c r="E881" s="22" t="s">
        <v>62</v>
      </c>
      <c r="F881" s="66">
        <f t="shared" si="170"/>
        <v>457.90551999999997</v>
      </c>
      <c r="G881" s="66">
        <f t="shared" si="170"/>
        <v>0</v>
      </c>
      <c r="H881" s="66">
        <f t="shared" si="170"/>
        <v>0</v>
      </c>
    </row>
    <row r="882" spans="1:8" ht="39" customHeight="1" x14ac:dyDescent="0.2">
      <c r="A882" s="15" t="s">
        <v>731</v>
      </c>
      <c r="B882" s="15" t="s">
        <v>63</v>
      </c>
      <c r="C882" s="9" t="s">
        <v>64</v>
      </c>
      <c r="D882" s="9" t="s">
        <v>401</v>
      </c>
      <c r="E882" s="22" t="s">
        <v>65</v>
      </c>
      <c r="F882" s="77">
        <f>695.92-238.01448</f>
        <v>457.90551999999997</v>
      </c>
      <c r="G882" s="66">
        <v>0</v>
      </c>
      <c r="H882" s="66">
        <v>0</v>
      </c>
    </row>
    <row r="883" spans="1:8" ht="57.95" customHeight="1" x14ac:dyDescent="0.2">
      <c r="A883" s="15" t="s">
        <v>733</v>
      </c>
      <c r="B883" s="15" t="s">
        <v>13</v>
      </c>
      <c r="C883" s="9"/>
      <c r="D883" s="9"/>
      <c r="E883" s="20" t="s">
        <v>732</v>
      </c>
      <c r="F883" s="66">
        <f t="shared" ref="F883:H884" si="171">F884</f>
        <v>160</v>
      </c>
      <c r="G883" s="66">
        <f t="shared" si="171"/>
        <v>0</v>
      </c>
      <c r="H883" s="66">
        <f t="shared" si="171"/>
        <v>0</v>
      </c>
    </row>
    <row r="884" spans="1:8" ht="39" customHeight="1" x14ac:dyDescent="0.2">
      <c r="A884" s="15" t="s">
        <v>733</v>
      </c>
      <c r="B884" s="15" t="s">
        <v>61</v>
      </c>
      <c r="C884" s="9"/>
      <c r="D884" s="9"/>
      <c r="E884" s="22" t="s">
        <v>62</v>
      </c>
      <c r="F884" s="66">
        <f t="shared" si="171"/>
        <v>160</v>
      </c>
      <c r="G884" s="66">
        <f t="shared" si="171"/>
        <v>0</v>
      </c>
      <c r="H884" s="66">
        <f t="shared" si="171"/>
        <v>0</v>
      </c>
    </row>
    <row r="885" spans="1:8" ht="39" customHeight="1" x14ac:dyDescent="0.2">
      <c r="A885" s="15" t="s">
        <v>733</v>
      </c>
      <c r="B885" s="15" t="s">
        <v>63</v>
      </c>
      <c r="C885" s="9" t="s">
        <v>64</v>
      </c>
      <c r="D885" s="9" t="s">
        <v>401</v>
      </c>
      <c r="E885" s="22" t="s">
        <v>65</v>
      </c>
      <c r="F885" s="77">
        <f>170-10</f>
        <v>160</v>
      </c>
      <c r="G885" s="66">
        <v>0</v>
      </c>
      <c r="H885" s="66">
        <v>0</v>
      </c>
    </row>
    <row r="886" spans="1:8" ht="54.95" customHeight="1" x14ac:dyDescent="0.2">
      <c r="A886" s="15" t="s">
        <v>734</v>
      </c>
      <c r="B886" s="15" t="s">
        <v>13</v>
      </c>
      <c r="C886" s="9"/>
      <c r="D886" s="9"/>
      <c r="E886" s="20" t="s">
        <v>735</v>
      </c>
      <c r="F886" s="66">
        <f t="shared" ref="F886:H887" si="172">F887</f>
        <v>2495.2028299999997</v>
      </c>
      <c r="G886" s="66">
        <f t="shared" si="172"/>
        <v>0</v>
      </c>
      <c r="H886" s="66">
        <f t="shared" si="172"/>
        <v>0</v>
      </c>
    </row>
    <row r="887" spans="1:8" ht="39" customHeight="1" x14ac:dyDescent="0.2">
      <c r="A887" s="15" t="s">
        <v>734</v>
      </c>
      <c r="B887" s="15" t="s">
        <v>61</v>
      </c>
      <c r="C887" s="9"/>
      <c r="D887" s="9"/>
      <c r="E887" s="22" t="s">
        <v>62</v>
      </c>
      <c r="F887" s="66">
        <f t="shared" si="172"/>
        <v>2495.2028299999997</v>
      </c>
      <c r="G887" s="66">
        <f t="shared" si="172"/>
        <v>0</v>
      </c>
      <c r="H887" s="66">
        <f t="shared" si="172"/>
        <v>0</v>
      </c>
    </row>
    <row r="888" spans="1:8" ht="39" customHeight="1" x14ac:dyDescent="0.2">
      <c r="A888" s="15" t="s">
        <v>734</v>
      </c>
      <c r="B888" s="15" t="s">
        <v>63</v>
      </c>
      <c r="C888" s="9" t="s">
        <v>64</v>
      </c>
      <c r="D888" s="9" t="s">
        <v>401</v>
      </c>
      <c r="E888" s="22" t="s">
        <v>65</v>
      </c>
      <c r="F888" s="77">
        <f>2847.95-352.74717</f>
        <v>2495.2028299999997</v>
      </c>
      <c r="G888" s="66">
        <v>0</v>
      </c>
      <c r="H888" s="66">
        <v>0</v>
      </c>
    </row>
    <row r="889" spans="1:8" ht="53.1" customHeight="1" x14ac:dyDescent="0.2">
      <c r="A889" s="15" t="s">
        <v>736</v>
      </c>
      <c r="B889" s="15" t="s">
        <v>13</v>
      </c>
      <c r="C889" s="9"/>
      <c r="D889" s="9"/>
      <c r="E889" s="20" t="s">
        <v>735</v>
      </c>
      <c r="F889" s="66">
        <f t="shared" ref="F889:H890" si="173">F890</f>
        <v>235</v>
      </c>
      <c r="G889" s="66">
        <f t="shared" si="173"/>
        <v>0</v>
      </c>
      <c r="H889" s="66">
        <f t="shared" si="173"/>
        <v>0</v>
      </c>
    </row>
    <row r="890" spans="1:8" ht="39" customHeight="1" x14ac:dyDescent="0.2">
      <c r="A890" s="15" t="s">
        <v>736</v>
      </c>
      <c r="B890" s="15" t="s">
        <v>61</v>
      </c>
      <c r="C890" s="9"/>
      <c r="D890" s="9"/>
      <c r="E890" s="22" t="s">
        <v>62</v>
      </c>
      <c r="F890" s="66">
        <f t="shared" si="173"/>
        <v>235</v>
      </c>
      <c r="G890" s="66">
        <f t="shared" si="173"/>
        <v>0</v>
      </c>
      <c r="H890" s="66">
        <f t="shared" si="173"/>
        <v>0</v>
      </c>
    </row>
    <row r="891" spans="1:8" ht="39" customHeight="1" x14ac:dyDescent="0.2">
      <c r="A891" s="15" t="s">
        <v>736</v>
      </c>
      <c r="B891" s="15" t="s">
        <v>63</v>
      </c>
      <c r="C891" s="9" t="s">
        <v>64</v>
      </c>
      <c r="D891" s="9" t="s">
        <v>401</v>
      </c>
      <c r="E891" s="22" t="s">
        <v>65</v>
      </c>
      <c r="F891" s="77">
        <f>245-10</f>
        <v>235</v>
      </c>
      <c r="G891" s="66">
        <v>0</v>
      </c>
      <c r="H891" s="66">
        <v>0</v>
      </c>
    </row>
    <row r="892" spans="1:8" ht="54" customHeight="1" x14ac:dyDescent="0.2">
      <c r="A892" s="78" t="s">
        <v>830</v>
      </c>
      <c r="B892" s="78" t="s">
        <v>13</v>
      </c>
      <c r="C892" s="64"/>
      <c r="D892" s="64"/>
      <c r="E892" s="80" t="s">
        <v>828</v>
      </c>
      <c r="F892" s="77">
        <f t="shared" ref="F892:H893" si="174">F893</f>
        <v>2978.81</v>
      </c>
      <c r="G892" s="77">
        <f t="shared" si="174"/>
        <v>0</v>
      </c>
      <c r="H892" s="77">
        <f t="shared" si="174"/>
        <v>0</v>
      </c>
    </row>
    <row r="893" spans="1:8" ht="39" customHeight="1" x14ac:dyDescent="0.2">
      <c r="A893" s="78" t="s">
        <v>830</v>
      </c>
      <c r="B893" s="78" t="s">
        <v>61</v>
      </c>
      <c r="C893" s="64"/>
      <c r="D893" s="64"/>
      <c r="E893" s="80" t="s">
        <v>62</v>
      </c>
      <c r="F893" s="77">
        <f t="shared" si="174"/>
        <v>2978.81</v>
      </c>
      <c r="G893" s="77">
        <f t="shared" si="174"/>
        <v>0</v>
      </c>
      <c r="H893" s="77">
        <f t="shared" si="174"/>
        <v>0</v>
      </c>
    </row>
    <row r="894" spans="1:8" ht="39" customHeight="1" x14ac:dyDescent="0.2">
      <c r="A894" s="78" t="s">
        <v>830</v>
      </c>
      <c r="B894" s="78" t="s">
        <v>63</v>
      </c>
      <c r="C894" s="9" t="s">
        <v>64</v>
      </c>
      <c r="D894" s="9" t="s">
        <v>401</v>
      </c>
      <c r="E894" s="80" t="s">
        <v>65</v>
      </c>
      <c r="F894" s="77">
        <v>2978.81</v>
      </c>
      <c r="G894" s="77">
        <v>0</v>
      </c>
      <c r="H894" s="77">
        <v>0</v>
      </c>
    </row>
    <row r="895" spans="1:8" ht="55.5" customHeight="1" x14ac:dyDescent="0.2">
      <c r="A895" s="78" t="s">
        <v>831</v>
      </c>
      <c r="B895" s="78" t="s">
        <v>13</v>
      </c>
      <c r="C895" s="64"/>
      <c r="D895" s="64"/>
      <c r="E895" s="80" t="s">
        <v>828</v>
      </c>
      <c r="F895" s="77">
        <f t="shared" ref="F895:H896" si="175">F896</f>
        <v>500</v>
      </c>
      <c r="G895" s="77">
        <f t="shared" si="175"/>
        <v>0</v>
      </c>
      <c r="H895" s="77">
        <f t="shared" si="175"/>
        <v>0</v>
      </c>
    </row>
    <row r="896" spans="1:8" ht="39" customHeight="1" x14ac:dyDescent="0.2">
      <c r="A896" s="78" t="s">
        <v>831</v>
      </c>
      <c r="B896" s="78" t="s">
        <v>61</v>
      </c>
      <c r="C896" s="64"/>
      <c r="D896" s="64"/>
      <c r="E896" s="80" t="s">
        <v>62</v>
      </c>
      <c r="F896" s="77">
        <f t="shared" si="175"/>
        <v>500</v>
      </c>
      <c r="G896" s="77">
        <f t="shared" si="175"/>
        <v>0</v>
      </c>
      <c r="H896" s="77">
        <f t="shared" si="175"/>
        <v>0</v>
      </c>
    </row>
    <row r="897" spans="1:8" ht="39" customHeight="1" x14ac:dyDescent="0.2">
      <c r="A897" s="78" t="s">
        <v>831</v>
      </c>
      <c r="B897" s="78" t="s">
        <v>63</v>
      </c>
      <c r="C897" s="9" t="s">
        <v>64</v>
      </c>
      <c r="D897" s="9" t="s">
        <v>401</v>
      </c>
      <c r="E897" s="80" t="s">
        <v>65</v>
      </c>
      <c r="F897" s="77">
        <v>500</v>
      </c>
      <c r="G897" s="77">
        <v>0</v>
      </c>
      <c r="H897" s="77">
        <v>0</v>
      </c>
    </row>
    <row r="898" spans="1:8" ht="54.75" customHeight="1" x14ac:dyDescent="0.2">
      <c r="A898" s="78" t="s">
        <v>832</v>
      </c>
      <c r="B898" s="78" t="s">
        <v>13</v>
      </c>
      <c r="C898" s="64"/>
      <c r="D898" s="64"/>
      <c r="E898" s="80" t="s">
        <v>829</v>
      </c>
      <c r="F898" s="77">
        <f t="shared" ref="F898:H899" si="176">F899</f>
        <v>1663.99</v>
      </c>
      <c r="G898" s="77">
        <f t="shared" si="176"/>
        <v>0</v>
      </c>
      <c r="H898" s="77">
        <f t="shared" si="176"/>
        <v>0</v>
      </c>
    </row>
    <row r="899" spans="1:8" ht="39" customHeight="1" x14ac:dyDescent="0.2">
      <c r="A899" s="78" t="s">
        <v>832</v>
      </c>
      <c r="B899" s="78" t="s">
        <v>61</v>
      </c>
      <c r="C899" s="64"/>
      <c r="D899" s="64"/>
      <c r="E899" s="80" t="s">
        <v>62</v>
      </c>
      <c r="F899" s="77">
        <f t="shared" si="176"/>
        <v>1663.99</v>
      </c>
      <c r="G899" s="77">
        <f t="shared" si="176"/>
        <v>0</v>
      </c>
      <c r="H899" s="77">
        <f t="shared" si="176"/>
        <v>0</v>
      </c>
    </row>
    <row r="900" spans="1:8" ht="39" customHeight="1" x14ac:dyDescent="0.2">
      <c r="A900" s="78" t="s">
        <v>832</v>
      </c>
      <c r="B900" s="78" t="s">
        <v>63</v>
      </c>
      <c r="C900" s="9" t="s">
        <v>64</v>
      </c>
      <c r="D900" s="9" t="s">
        <v>401</v>
      </c>
      <c r="E900" s="80" t="s">
        <v>65</v>
      </c>
      <c r="F900" s="77">
        <v>1663.99</v>
      </c>
      <c r="G900" s="77">
        <v>0</v>
      </c>
      <c r="H900" s="77">
        <v>0</v>
      </c>
    </row>
    <row r="901" spans="1:8" ht="60.75" customHeight="1" x14ac:dyDescent="0.2">
      <c r="A901" s="78" t="s">
        <v>833</v>
      </c>
      <c r="B901" s="78" t="s">
        <v>13</v>
      </c>
      <c r="C901" s="64"/>
      <c r="D901" s="64"/>
      <c r="E901" s="80" t="s">
        <v>829</v>
      </c>
      <c r="F901" s="77">
        <f t="shared" ref="F901:H902" si="177">F902</f>
        <v>150</v>
      </c>
      <c r="G901" s="77">
        <f t="shared" si="177"/>
        <v>0</v>
      </c>
      <c r="H901" s="77">
        <f t="shared" si="177"/>
        <v>0</v>
      </c>
    </row>
    <row r="902" spans="1:8" ht="39" customHeight="1" x14ac:dyDescent="0.2">
      <c r="A902" s="78" t="s">
        <v>833</v>
      </c>
      <c r="B902" s="78" t="s">
        <v>61</v>
      </c>
      <c r="C902" s="64"/>
      <c r="D902" s="64"/>
      <c r="E902" s="80" t="s">
        <v>62</v>
      </c>
      <c r="F902" s="77">
        <f t="shared" si="177"/>
        <v>150</v>
      </c>
      <c r="G902" s="77">
        <f t="shared" si="177"/>
        <v>0</v>
      </c>
      <c r="H902" s="77">
        <f t="shared" si="177"/>
        <v>0</v>
      </c>
    </row>
    <row r="903" spans="1:8" ht="39" customHeight="1" x14ac:dyDescent="0.2">
      <c r="A903" s="78" t="s">
        <v>833</v>
      </c>
      <c r="B903" s="78" t="s">
        <v>63</v>
      </c>
      <c r="C903" s="9" t="s">
        <v>64</v>
      </c>
      <c r="D903" s="9" t="s">
        <v>401</v>
      </c>
      <c r="E903" s="80" t="s">
        <v>65</v>
      </c>
      <c r="F903" s="77">
        <v>150</v>
      </c>
      <c r="G903" s="77">
        <v>0</v>
      </c>
      <c r="H903" s="77">
        <v>0</v>
      </c>
    </row>
    <row r="904" spans="1:8" ht="28.5" customHeight="1" x14ac:dyDescent="0.2">
      <c r="A904" s="15" t="s">
        <v>737</v>
      </c>
      <c r="B904" s="15" t="s">
        <v>13</v>
      </c>
      <c r="C904" s="9"/>
      <c r="D904" s="9"/>
      <c r="E904" s="50" t="s">
        <v>503</v>
      </c>
      <c r="F904" s="66">
        <f t="shared" ref="F904:H904" si="178">F905</f>
        <v>6595.9298900000003</v>
      </c>
      <c r="G904" s="66">
        <f t="shared" si="178"/>
        <v>0</v>
      </c>
      <c r="H904" s="66">
        <f t="shared" si="178"/>
        <v>0</v>
      </c>
    </row>
    <row r="905" spans="1:8" ht="39" customHeight="1" x14ac:dyDescent="0.2">
      <c r="A905" s="15" t="s">
        <v>737</v>
      </c>
      <c r="B905" s="15" t="s">
        <v>61</v>
      </c>
      <c r="C905" s="9"/>
      <c r="D905" s="9"/>
      <c r="E905" s="22" t="s">
        <v>62</v>
      </c>
      <c r="F905" s="66">
        <f>F906+F907+F908</f>
        <v>6595.9298900000003</v>
      </c>
      <c r="G905" s="66">
        <f t="shared" ref="G905:H905" si="179">G906+G907+G908</f>
        <v>0</v>
      </c>
      <c r="H905" s="66">
        <f t="shared" si="179"/>
        <v>0</v>
      </c>
    </row>
    <row r="906" spans="1:8" ht="39" customHeight="1" x14ac:dyDescent="0.2">
      <c r="A906" s="15" t="s">
        <v>737</v>
      </c>
      <c r="B906" s="15" t="s">
        <v>63</v>
      </c>
      <c r="C906" s="9" t="s">
        <v>64</v>
      </c>
      <c r="D906" s="9" t="s">
        <v>401</v>
      </c>
      <c r="E906" s="22" t="s">
        <v>65</v>
      </c>
      <c r="F906" s="77">
        <f>11851-4362.87-871.78987-500-20.41024</f>
        <v>6095.9298900000003</v>
      </c>
      <c r="G906" s="66">
        <v>0</v>
      </c>
      <c r="H906" s="66">
        <v>0</v>
      </c>
    </row>
    <row r="907" spans="1:8" ht="39" customHeight="1" x14ac:dyDescent="0.2">
      <c r="A907" s="15" t="s">
        <v>737</v>
      </c>
      <c r="B907" s="15" t="s">
        <v>63</v>
      </c>
      <c r="C907" s="9" t="s">
        <v>64</v>
      </c>
      <c r="D907" s="9" t="s">
        <v>29</v>
      </c>
      <c r="E907" s="22" t="s">
        <v>65</v>
      </c>
      <c r="F907" s="77">
        <v>124</v>
      </c>
      <c r="G907" s="77">
        <v>0</v>
      </c>
      <c r="H907" s="77">
        <v>0</v>
      </c>
    </row>
    <row r="908" spans="1:8" ht="39" customHeight="1" x14ac:dyDescent="0.2">
      <c r="A908" s="15" t="s">
        <v>737</v>
      </c>
      <c r="B908" s="15" t="s">
        <v>63</v>
      </c>
      <c r="C908" s="9" t="s">
        <v>64</v>
      </c>
      <c r="D908" s="9" t="s">
        <v>197</v>
      </c>
      <c r="E908" s="22" t="s">
        <v>65</v>
      </c>
      <c r="F908" s="77">
        <v>376</v>
      </c>
      <c r="G908" s="77">
        <v>0</v>
      </c>
      <c r="H908" s="77">
        <v>0</v>
      </c>
    </row>
    <row r="909" spans="1:8" ht="52.5" customHeight="1" x14ac:dyDescent="0.2">
      <c r="A909" s="15" t="s">
        <v>738</v>
      </c>
      <c r="B909" s="15" t="s">
        <v>13</v>
      </c>
      <c r="C909" s="9"/>
      <c r="D909" s="9"/>
      <c r="E909" s="51" t="s">
        <v>739</v>
      </c>
      <c r="F909" s="66">
        <f>F910</f>
        <v>100</v>
      </c>
      <c r="G909" s="66">
        <f>G911</f>
        <v>100</v>
      </c>
      <c r="H909" s="66">
        <f>H911</f>
        <v>100</v>
      </c>
    </row>
    <row r="910" spans="1:8" ht="39" customHeight="1" x14ac:dyDescent="0.2">
      <c r="A910" s="15" t="s">
        <v>740</v>
      </c>
      <c r="B910" s="15" t="s">
        <v>13</v>
      </c>
      <c r="C910" s="9"/>
      <c r="D910" s="9"/>
      <c r="E910" s="52" t="s">
        <v>741</v>
      </c>
      <c r="F910" s="66">
        <f>F911</f>
        <v>100</v>
      </c>
      <c r="G910" s="66">
        <f t="shared" ref="F910:H913" si="180">G911</f>
        <v>100</v>
      </c>
      <c r="H910" s="66">
        <f t="shared" si="180"/>
        <v>100</v>
      </c>
    </row>
    <row r="911" spans="1:8" ht="32.25" customHeight="1" x14ac:dyDescent="0.2">
      <c r="A911" s="15" t="s">
        <v>742</v>
      </c>
      <c r="B911" s="15" t="s">
        <v>13</v>
      </c>
      <c r="C911" s="9"/>
      <c r="D911" s="9"/>
      <c r="E911" s="53" t="s">
        <v>743</v>
      </c>
      <c r="F911" s="66">
        <f>F912+F915</f>
        <v>100</v>
      </c>
      <c r="G911" s="66">
        <f t="shared" si="180"/>
        <v>100</v>
      </c>
      <c r="H911" s="66">
        <f t="shared" si="180"/>
        <v>100</v>
      </c>
    </row>
    <row r="912" spans="1:8" ht="48" customHeight="1" x14ac:dyDescent="0.2">
      <c r="A912" s="15" t="s">
        <v>744</v>
      </c>
      <c r="B912" s="15" t="s">
        <v>13</v>
      </c>
      <c r="C912" s="9"/>
      <c r="D912" s="9"/>
      <c r="E912" s="54" t="s">
        <v>745</v>
      </c>
      <c r="F912" s="66">
        <f t="shared" si="180"/>
        <v>14</v>
      </c>
      <c r="G912" s="66">
        <f t="shared" si="180"/>
        <v>100</v>
      </c>
      <c r="H912" s="66">
        <f t="shared" si="180"/>
        <v>100</v>
      </c>
    </row>
    <row r="913" spans="1:8" ht="35.25" customHeight="1" x14ac:dyDescent="0.2">
      <c r="A913" s="15" t="s">
        <v>744</v>
      </c>
      <c r="B913" s="15" t="s">
        <v>61</v>
      </c>
      <c r="C913" s="9"/>
      <c r="D913" s="9"/>
      <c r="E913" s="32" t="s">
        <v>62</v>
      </c>
      <c r="F913" s="66">
        <f t="shared" si="180"/>
        <v>14</v>
      </c>
      <c r="G913" s="66">
        <f t="shared" si="180"/>
        <v>100</v>
      </c>
      <c r="H913" s="66">
        <f t="shared" si="180"/>
        <v>100</v>
      </c>
    </row>
    <row r="914" spans="1:8" ht="35.25" customHeight="1" x14ac:dyDescent="0.2">
      <c r="A914" s="15" t="s">
        <v>744</v>
      </c>
      <c r="B914" s="15" t="s">
        <v>63</v>
      </c>
      <c r="C914" s="9" t="s">
        <v>64</v>
      </c>
      <c r="D914" s="9" t="s">
        <v>521</v>
      </c>
      <c r="E914" s="32" t="s">
        <v>65</v>
      </c>
      <c r="F914" s="77">
        <f>100-86</f>
        <v>14</v>
      </c>
      <c r="G914" s="66">
        <v>100</v>
      </c>
      <c r="H914" s="66">
        <v>100</v>
      </c>
    </row>
    <row r="915" spans="1:8" ht="86.25" customHeight="1" x14ac:dyDescent="0.2">
      <c r="A915" s="78" t="s">
        <v>856</v>
      </c>
      <c r="B915" s="78" t="s">
        <v>13</v>
      </c>
      <c r="C915" s="64"/>
      <c r="D915" s="64"/>
      <c r="E915" s="94" t="s">
        <v>855</v>
      </c>
      <c r="F915" s="77">
        <f t="shared" ref="F915:H916" si="181">F916</f>
        <v>86</v>
      </c>
      <c r="G915" s="77">
        <f t="shared" si="181"/>
        <v>0</v>
      </c>
      <c r="H915" s="77">
        <f t="shared" si="181"/>
        <v>0</v>
      </c>
    </row>
    <row r="916" spans="1:8" ht="35.25" customHeight="1" x14ac:dyDescent="0.2">
      <c r="A916" s="78" t="s">
        <v>856</v>
      </c>
      <c r="B916" s="78" t="s">
        <v>61</v>
      </c>
      <c r="C916" s="64"/>
      <c r="D916" s="64"/>
      <c r="E916" s="80" t="s">
        <v>62</v>
      </c>
      <c r="F916" s="77">
        <f t="shared" si="181"/>
        <v>86</v>
      </c>
      <c r="G916" s="77">
        <f t="shared" si="181"/>
        <v>0</v>
      </c>
      <c r="H916" s="77">
        <f t="shared" si="181"/>
        <v>0</v>
      </c>
    </row>
    <row r="917" spans="1:8" ht="35.25" customHeight="1" x14ac:dyDescent="0.2">
      <c r="A917" s="78" t="s">
        <v>856</v>
      </c>
      <c r="B917" s="78" t="s">
        <v>63</v>
      </c>
      <c r="C917" s="9" t="s">
        <v>64</v>
      </c>
      <c r="D917" s="9" t="s">
        <v>521</v>
      </c>
      <c r="E917" s="80" t="s">
        <v>65</v>
      </c>
      <c r="F917" s="77">
        <v>86</v>
      </c>
      <c r="G917" s="77">
        <v>0</v>
      </c>
      <c r="H917" s="77">
        <v>0</v>
      </c>
    </row>
    <row r="918" spans="1:8" ht="23.25" customHeight="1" x14ac:dyDescent="0.2">
      <c r="A918" s="55" t="s">
        <v>746</v>
      </c>
      <c r="B918" s="55" t="s">
        <v>13</v>
      </c>
      <c r="C918" s="55"/>
      <c r="D918" s="55"/>
      <c r="E918" s="56" t="s">
        <v>747</v>
      </c>
      <c r="F918" s="75">
        <f>F920+F925+F945+F987+F1014</f>
        <v>421536.17500000005</v>
      </c>
      <c r="G918" s="75">
        <f>G920+G925+G945+G987+G1014</f>
        <v>375157</v>
      </c>
      <c r="H918" s="75">
        <f>H920+H925+H945+H987+H1014</f>
        <v>375171.80000000005</v>
      </c>
    </row>
    <row r="919" spans="1:8" ht="24" customHeight="1" x14ac:dyDescent="0.2">
      <c r="A919" s="9" t="s">
        <v>748</v>
      </c>
      <c r="B919" s="9"/>
      <c r="C919" s="9"/>
      <c r="D919" s="9"/>
      <c r="E919" s="12" t="s">
        <v>749</v>
      </c>
      <c r="F919" s="66">
        <f>F920</f>
        <v>4023.1489999999994</v>
      </c>
      <c r="G919" s="66">
        <f>G920</f>
        <v>3000</v>
      </c>
      <c r="H919" s="66">
        <f>H920</f>
        <v>3000</v>
      </c>
    </row>
    <row r="920" spans="1:8" ht="33" customHeight="1" x14ac:dyDescent="0.2">
      <c r="A920" s="9" t="s">
        <v>750</v>
      </c>
      <c r="B920" s="9" t="s">
        <v>13</v>
      </c>
      <c r="C920" s="9"/>
      <c r="D920" s="9"/>
      <c r="E920" s="10" t="s">
        <v>751</v>
      </c>
      <c r="F920" s="66">
        <f>F921+F923</f>
        <v>4023.1489999999994</v>
      </c>
      <c r="G920" s="66">
        <f>G923</f>
        <v>3000</v>
      </c>
      <c r="H920" s="66">
        <f>H923</f>
        <v>3000</v>
      </c>
    </row>
    <row r="921" spans="1:8" ht="33" customHeight="1" x14ac:dyDescent="0.2">
      <c r="A921" s="15" t="s">
        <v>750</v>
      </c>
      <c r="B921" s="15" t="s">
        <v>61</v>
      </c>
      <c r="C921" s="9"/>
      <c r="D921" s="9"/>
      <c r="E921" s="22" t="s">
        <v>62</v>
      </c>
      <c r="F921" s="66">
        <f t="shared" ref="F921:H921" si="182">F922</f>
        <v>160</v>
      </c>
      <c r="G921" s="66">
        <f t="shared" si="182"/>
        <v>0</v>
      </c>
      <c r="H921" s="66">
        <f t="shared" si="182"/>
        <v>0</v>
      </c>
    </row>
    <row r="922" spans="1:8" ht="33" customHeight="1" x14ac:dyDescent="0.2">
      <c r="A922" s="15" t="s">
        <v>750</v>
      </c>
      <c r="B922" s="15" t="s">
        <v>63</v>
      </c>
      <c r="C922" s="17">
        <v>601</v>
      </c>
      <c r="D922" s="14" t="s">
        <v>439</v>
      </c>
      <c r="E922" s="22" t="s">
        <v>65</v>
      </c>
      <c r="F922" s="66">
        <v>160</v>
      </c>
      <c r="G922" s="66">
        <v>0</v>
      </c>
      <c r="H922" s="66">
        <v>0</v>
      </c>
    </row>
    <row r="923" spans="1:8" ht="18.75" customHeight="1" x14ac:dyDescent="0.2">
      <c r="A923" s="14" t="s">
        <v>750</v>
      </c>
      <c r="B923" s="14" t="s">
        <v>448</v>
      </c>
      <c r="C923" s="14"/>
      <c r="D923" s="14"/>
      <c r="E923" s="12" t="s">
        <v>449</v>
      </c>
      <c r="F923" s="66">
        <f>F924</f>
        <v>3863.1489999999994</v>
      </c>
      <c r="G923" s="66">
        <f>G924</f>
        <v>3000</v>
      </c>
      <c r="H923" s="66">
        <f>H924</f>
        <v>3000</v>
      </c>
    </row>
    <row r="924" spans="1:8" ht="17.25" customHeight="1" x14ac:dyDescent="0.2">
      <c r="A924" s="14" t="s">
        <v>750</v>
      </c>
      <c r="B924" s="14" t="s">
        <v>752</v>
      </c>
      <c r="C924" s="17">
        <v>601</v>
      </c>
      <c r="D924" s="14" t="s">
        <v>753</v>
      </c>
      <c r="E924" s="10" t="s">
        <v>754</v>
      </c>
      <c r="F924" s="69">
        <f>3000+1000+8500-276.851-160-2000-6200</f>
        <v>3863.1489999999994</v>
      </c>
      <c r="G924" s="69">
        <v>3000</v>
      </c>
      <c r="H924" s="69">
        <v>3000</v>
      </c>
    </row>
    <row r="925" spans="1:8" ht="49.5" customHeight="1" x14ac:dyDescent="0.2">
      <c r="A925" s="9" t="s">
        <v>755</v>
      </c>
      <c r="B925" s="9" t="s">
        <v>13</v>
      </c>
      <c r="C925" s="9"/>
      <c r="D925" s="9"/>
      <c r="E925" s="57" t="s">
        <v>756</v>
      </c>
      <c r="F925" s="69">
        <f>F938+F926</f>
        <v>7036</v>
      </c>
      <c r="G925" s="69">
        <f>G938+G926</f>
        <v>6000</v>
      </c>
      <c r="H925" s="69">
        <f>H938+H926</f>
        <v>6000</v>
      </c>
    </row>
    <row r="926" spans="1:8" ht="51" customHeight="1" x14ac:dyDescent="0.2">
      <c r="A926" s="13" t="s">
        <v>759</v>
      </c>
      <c r="B926" s="9" t="s">
        <v>13</v>
      </c>
      <c r="C926" s="9"/>
      <c r="D926" s="9"/>
      <c r="E926" s="12" t="s">
        <v>760</v>
      </c>
      <c r="F926" s="66">
        <f>F927+F933+F936</f>
        <v>6000</v>
      </c>
      <c r="G926" s="66">
        <f>G936</f>
        <v>6000</v>
      </c>
      <c r="H926" s="66">
        <f>H936</f>
        <v>6000</v>
      </c>
    </row>
    <row r="927" spans="1:8" ht="37.5" customHeight="1" x14ac:dyDescent="0.2">
      <c r="A927" s="13" t="s">
        <v>759</v>
      </c>
      <c r="B927" s="15" t="s">
        <v>61</v>
      </c>
      <c r="C927" s="64"/>
      <c r="D927" s="64"/>
      <c r="E927" s="16" t="s">
        <v>62</v>
      </c>
      <c r="F927" s="77">
        <f>F928+F929+F930+F931+F932</f>
        <v>2723.6005999999998</v>
      </c>
      <c r="G927" s="66">
        <f>G929</f>
        <v>0</v>
      </c>
      <c r="H927" s="66">
        <f>H929</f>
        <v>0</v>
      </c>
    </row>
    <row r="928" spans="1:8" ht="37.5" customHeight="1" x14ac:dyDescent="0.2">
      <c r="A928" s="13" t="s">
        <v>759</v>
      </c>
      <c r="B928" s="15" t="s">
        <v>63</v>
      </c>
      <c r="C928" s="78">
        <v>601</v>
      </c>
      <c r="D928" s="64" t="s">
        <v>471</v>
      </c>
      <c r="E928" s="16" t="s">
        <v>65</v>
      </c>
      <c r="F928" s="77">
        <v>40.851599999999998</v>
      </c>
      <c r="G928" s="77">
        <v>0</v>
      </c>
      <c r="H928" s="77">
        <v>0</v>
      </c>
    </row>
    <row r="929" spans="1:8" ht="39.75" customHeight="1" x14ac:dyDescent="0.2">
      <c r="A929" s="13" t="s">
        <v>759</v>
      </c>
      <c r="B929" s="15" t="s">
        <v>63</v>
      </c>
      <c r="C929" s="78">
        <v>601</v>
      </c>
      <c r="D929" s="64" t="s">
        <v>401</v>
      </c>
      <c r="E929" s="16" t="s">
        <v>65</v>
      </c>
      <c r="F929" s="77">
        <f>10+34+56</f>
        <v>100</v>
      </c>
      <c r="G929" s="66">
        <v>0</v>
      </c>
      <c r="H929" s="66">
        <v>0</v>
      </c>
    </row>
    <row r="930" spans="1:8" ht="38.1" customHeight="1" x14ac:dyDescent="0.2">
      <c r="A930" s="13" t="s">
        <v>759</v>
      </c>
      <c r="B930" s="15" t="s">
        <v>63</v>
      </c>
      <c r="C930" s="15" t="s">
        <v>219</v>
      </c>
      <c r="D930" s="15" t="s">
        <v>197</v>
      </c>
      <c r="E930" s="16" t="s">
        <v>65</v>
      </c>
      <c r="F930" s="67">
        <v>120</v>
      </c>
      <c r="G930" s="68">
        <v>0</v>
      </c>
      <c r="H930" s="68">
        <v>0</v>
      </c>
    </row>
    <row r="931" spans="1:8" ht="39" customHeight="1" x14ac:dyDescent="0.2">
      <c r="A931" s="13" t="s">
        <v>759</v>
      </c>
      <c r="B931" s="15" t="s">
        <v>63</v>
      </c>
      <c r="C931" s="15" t="s">
        <v>219</v>
      </c>
      <c r="D931" s="15" t="s">
        <v>487</v>
      </c>
      <c r="E931" s="16" t="s">
        <v>65</v>
      </c>
      <c r="F931" s="67">
        <f>685.809+690.94+515+179+70</f>
        <v>2140.7489999999998</v>
      </c>
      <c r="G931" s="68">
        <v>0</v>
      </c>
      <c r="H931" s="68">
        <v>0</v>
      </c>
    </row>
    <row r="932" spans="1:8" ht="39" customHeight="1" x14ac:dyDescent="0.2">
      <c r="A932" s="13" t="s">
        <v>759</v>
      </c>
      <c r="B932" s="15" t="s">
        <v>63</v>
      </c>
      <c r="C932" s="15" t="s">
        <v>219</v>
      </c>
      <c r="D932" s="15" t="s">
        <v>548</v>
      </c>
      <c r="E932" s="16" t="s">
        <v>65</v>
      </c>
      <c r="F932" s="66">
        <f>227+95</f>
        <v>322</v>
      </c>
      <c r="G932" s="68">
        <v>0</v>
      </c>
      <c r="H932" s="68">
        <v>0</v>
      </c>
    </row>
    <row r="933" spans="1:8" ht="36.950000000000003" customHeight="1" x14ac:dyDescent="0.2">
      <c r="A933" s="13" t="s">
        <v>759</v>
      </c>
      <c r="B933" s="15" t="s">
        <v>21</v>
      </c>
      <c r="C933" s="9"/>
      <c r="D933" s="9"/>
      <c r="E933" s="32" t="s">
        <v>22</v>
      </c>
      <c r="F933" s="67">
        <f>F934+F935</f>
        <v>3118.6329999999998</v>
      </c>
      <c r="G933" s="66">
        <f>G935</f>
        <v>0</v>
      </c>
      <c r="H933" s="66">
        <f>H935</f>
        <v>0</v>
      </c>
    </row>
    <row r="934" spans="1:8" ht="24.95" customHeight="1" x14ac:dyDescent="0.2">
      <c r="A934" s="13" t="s">
        <v>759</v>
      </c>
      <c r="B934" s="15" t="s">
        <v>23</v>
      </c>
      <c r="C934" s="15" t="s">
        <v>24</v>
      </c>
      <c r="D934" s="15" t="s">
        <v>29</v>
      </c>
      <c r="E934" s="18" t="s">
        <v>26</v>
      </c>
      <c r="F934" s="67">
        <f>215.87+77+300</f>
        <v>592.87</v>
      </c>
      <c r="G934" s="66">
        <v>0</v>
      </c>
      <c r="H934" s="66">
        <v>0</v>
      </c>
    </row>
    <row r="935" spans="1:8" ht="27" customHeight="1" x14ac:dyDescent="0.2">
      <c r="A935" s="13" t="s">
        <v>759</v>
      </c>
      <c r="B935" s="15" t="s">
        <v>23</v>
      </c>
      <c r="C935" s="15" t="s">
        <v>24</v>
      </c>
      <c r="D935" s="15" t="s">
        <v>81</v>
      </c>
      <c r="E935" s="18" t="s">
        <v>26</v>
      </c>
      <c r="F935" s="67">
        <f>556.49+607.488-80.01+553.505+873.79+14.5</f>
        <v>2525.7629999999999</v>
      </c>
      <c r="G935" s="66">
        <v>0</v>
      </c>
      <c r="H935" s="66">
        <v>0</v>
      </c>
    </row>
    <row r="936" spans="1:8" ht="24" customHeight="1" x14ac:dyDescent="0.2">
      <c r="A936" s="13" t="s">
        <v>759</v>
      </c>
      <c r="B936" s="9" t="s">
        <v>448</v>
      </c>
      <c r="C936" s="9"/>
      <c r="D936" s="9"/>
      <c r="E936" s="45" t="s">
        <v>449</v>
      </c>
      <c r="F936" s="66">
        <f>F937</f>
        <v>157.76640000000043</v>
      </c>
      <c r="G936" s="66">
        <f>G937</f>
        <v>6000</v>
      </c>
      <c r="H936" s="66">
        <f>H937</f>
        <v>6000</v>
      </c>
    </row>
    <row r="937" spans="1:8" ht="21.95" customHeight="1" x14ac:dyDescent="0.2">
      <c r="A937" s="13" t="s">
        <v>759</v>
      </c>
      <c r="B937" s="9" t="s">
        <v>752</v>
      </c>
      <c r="C937" s="9" t="s">
        <v>761</v>
      </c>
      <c r="D937" s="9" t="s">
        <v>439</v>
      </c>
      <c r="E937" s="45" t="s">
        <v>754</v>
      </c>
      <c r="F937" s="66">
        <f>6000-F933-F927</f>
        <v>157.76640000000043</v>
      </c>
      <c r="G937" s="66">
        <f t="shared" ref="G937:H937" si="183">6000-G933-G927</f>
        <v>6000</v>
      </c>
      <c r="H937" s="66">
        <f t="shared" si="183"/>
        <v>6000</v>
      </c>
    </row>
    <row r="938" spans="1:8" ht="42" customHeight="1" x14ac:dyDescent="0.2">
      <c r="A938" s="58" t="s">
        <v>757</v>
      </c>
      <c r="B938" s="15" t="s">
        <v>13</v>
      </c>
      <c r="C938" s="9"/>
      <c r="D938" s="9"/>
      <c r="E938" s="32" t="s">
        <v>758</v>
      </c>
      <c r="F938" s="66">
        <f>F939+F943</f>
        <v>1036</v>
      </c>
      <c r="G938" s="66">
        <f>G939+G943</f>
        <v>0</v>
      </c>
      <c r="H938" s="66">
        <f>H939+H943</f>
        <v>0</v>
      </c>
    </row>
    <row r="939" spans="1:8" ht="35.25" customHeight="1" x14ac:dyDescent="0.2">
      <c r="A939" s="58" t="s">
        <v>757</v>
      </c>
      <c r="B939" s="15" t="s">
        <v>61</v>
      </c>
      <c r="C939" s="9"/>
      <c r="D939" s="9"/>
      <c r="E939" s="22" t="s">
        <v>62</v>
      </c>
      <c r="F939" s="66">
        <f>F940+F941+F942</f>
        <v>652.79999999999995</v>
      </c>
      <c r="G939" s="66">
        <f t="shared" ref="G939:H939" si="184">G940</f>
        <v>0</v>
      </c>
      <c r="H939" s="66">
        <f t="shared" si="184"/>
        <v>0</v>
      </c>
    </row>
    <row r="940" spans="1:8" ht="39.75" customHeight="1" x14ac:dyDescent="0.2">
      <c r="A940" s="58" t="s">
        <v>757</v>
      </c>
      <c r="B940" s="15" t="s">
        <v>63</v>
      </c>
      <c r="C940" s="15">
        <v>601</v>
      </c>
      <c r="D940" s="9" t="s">
        <v>401</v>
      </c>
      <c r="E940" s="22" t="s">
        <v>65</v>
      </c>
      <c r="F940" s="66">
        <v>150</v>
      </c>
      <c r="G940" s="66">
        <v>0</v>
      </c>
      <c r="H940" s="66">
        <v>0</v>
      </c>
    </row>
    <row r="941" spans="1:8" ht="37.5" customHeight="1" x14ac:dyDescent="0.2">
      <c r="A941" s="58" t="s">
        <v>757</v>
      </c>
      <c r="B941" s="15" t="s">
        <v>63</v>
      </c>
      <c r="C941" s="15" t="s">
        <v>219</v>
      </c>
      <c r="D941" s="15" t="s">
        <v>487</v>
      </c>
      <c r="E941" s="22" t="s">
        <v>65</v>
      </c>
      <c r="F941" s="66">
        <f>208.8+200</f>
        <v>408.8</v>
      </c>
      <c r="G941" s="66">
        <v>0</v>
      </c>
      <c r="H941" s="66">
        <v>0</v>
      </c>
    </row>
    <row r="942" spans="1:8" ht="37.5" customHeight="1" x14ac:dyDescent="0.2">
      <c r="A942" s="58" t="s">
        <v>757</v>
      </c>
      <c r="B942" s="15" t="s">
        <v>63</v>
      </c>
      <c r="C942" s="15" t="s">
        <v>219</v>
      </c>
      <c r="D942" s="15" t="s">
        <v>548</v>
      </c>
      <c r="E942" s="22" t="s">
        <v>65</v>
      </c>
      <c r="F942" s="66">
        <f>58+36</f>
        <v>94</v>
      </c>
      <c r="G942" s="66">
        <v>0</v>
      </c>
      <c r="H942" s="66">
        <v>0</v>
      </c>
    </row>
    <row r="943" spans="1:8" ht="37.5" customHeight="1" x14ac:dyDescent="0.2">
      <c r="A943" s="58" t="s">
        <v>757</v>
      </c>
      <c r="B943" s="15" t="s">
        <v>21</v>
      </c>
      <c r="C943" s="9"/>
      <c r="D943" s="9"/>
      <c r="E943" s="32" t="s">
        <v>22</v>
      </c>
      <c r="F943" s="66">
        <f>F944</f>
        <v>383.2</v>
      </c>
      <c r="G943" s="66">
        <f>G944</f>
        <v>0</v>
      </c>
      <c r="H943" s="66">
        <f>H944</f>
        <v>0</v>
      </c>
    </row>
    <row r="944" spans="1:8" ht="21.95" customHeight="1" x14ac:dyDescent="0.2">
      <c r="A944" s="58" t="s">
        <v>757</v>
      </c>
      <c r="B944" s="15" t="s">
        <v>23</v>
      </c>
      <c r="C944" s="15" t="s">
        <v>24</v>
      </c>
      <c r="D944" s="15" t="s">
        <v>81</v>
      </c>
      <c r="E944" s="18" t="s">
        <v>26</v>
      </c>
      <c r="F944" s="77">
        <f>190+193.2</f>
        <v>383.2</v>
      </c>
      <c r="G944" s="66">
        <f t="shared" ref="G944:H944" si="185">G941</f>
        <v>0</v>
      </c>
      <c r="H944" s="66">
        <f t="shared" si="185"/>
        <v>0</v>
      </c>
    </row>
    <row r="945" spans="1:8" ht="24" customHeight="1" x14ac:dyDescent="0.2">
      <c r="A945" s="9" t="s">
        <v>762</v>
      </c>
      <c r="B945" s="9" t="s">
        <v>13</v>
      </c>
      <c r="C945" s="9"/>
      <c r="D945" s="9"/>
      <c r="E945" s="57" t="s">
        <v>763</v>
      </c>
      <c r="F945" s="68">
        <f>F952+F946+F949+F955+F959+F967+F977+F982+F970</f>
        <v>222741.52600000001</v>
      </c>
      <c r="G945" s="68">
        <f>G952+G946+G949+G955+G959+G967+G977+G982+G970</f>
        <v>178814.59999999998</v>
      </c>
      <c r="H945" s="68">
        <f>H952+H946+H949+H955+H959+H967+H977+H982+H970</f>
        <v>178813.90000000002</v>
      </c>
    </row>
    <row r="946" spans="1:8" ht="36" customHeight="1" x14ac:dyDescent="0.2">
      <c r="A946" s="9" t="s">
        <v>764</v>
      </c>
      <c r="B946" s="9" t="s">
        <v>13</v>
      </c>
      <c r="C946" s="9"/>
      <c r="D946" s="9"/>
      <c r="E946" s="10" t="s">
        <v>765</v>
      </c>
      <c r="F946" s="66">
        <f t="shared" ref="F946:H947" si="186">F947</f>
        <v>3140</v>
      </c>
      <c r="G946" s="66">
        <f t="shared" si="186"/>
        <v>3140</v>
      </c>
      <c r="H946" s="66">
        <f t="shared" si="186"/>
        <v>3140</v>
      </c>
    </row>
    <row r="947" spans="1:8" ht="26.1" customHeight="1" x14ac:dyDescent="0.2">
      <c r="A947" s="14" t="s">
        <v>764</v>
      </c>
      <c r="B947" s="14" t="s">
        <v>217</v>
      </c>
      <c r="C947" s="14"/>
      <c r="D947" s="14"/>
      <c r="E947" s="12" t="s">
        <v>218</v>
      </c>
      <c r="F947" s="66">
        <f t="shared" si="186"/>
        <v>3140</v>
      </c>
      <c r="G947" s="66">
        <f t="shared" si="186"/>
        <v>3140</v>
      </c>
      <c r="H947" s="66">
        <f t="shared" si="186"/>
        <v>3140</v>
      </c>
    </row>
    <row r="948" spans="1:8" ht="23.25" customHeight="1" x14ac:dyDescent="0.2">
      <c r="A948" s="14" t="s">
        <v>764</v>
      </c>
      <c r="B948" s="14" t="s">
        <v>766</v>
      </c>
      <c r="C948" s="14" t="s">
        <v>64</v>
      </c>
      <c r="D948" s="14" t="s">
        <v>767</v>
      </c>
      <c r="E948" s="10" t="s">
        <v>768</v>
      </c>
      <c r="F948" s="66">
        <v>3140</v>
      </c>
      <c r="G948" s="66">
        <v>3140</v>
      </c>
      <c r="H948" s="66">
        <v>3140</v>
      </c>
    </row>
    <row r="949" spans="1:8" ht="50.25" customHeight="1" x14ac:dyDescent="0.2">
      <c r="A949" s="9" t="s">
        <v>769</v>
      </c>
      <c r="B949" s="9" t="s">
        <v>13</v>
      </c>
      <c r="C949" s="9"/>
      <c r="D949" s="9"/>
      <c r="E949" s="10" t="s">
        <v>770</v>
      </c>
      <c r="F949" s="66">
        <f t="shared" ref="F949:H950" si="187">F950</f>
        <v>462</v>
      </c>
      <c r="G949" s="66">
        <f t="shared" si="187"/>
        <v>360</v>
      </c>
      <c r="H949" s="66">
        <f t="shared" si="187"/>
        <v>360</v>
      </c>
    </row>
    <row r="950" spans="1:8" ht="21" customHeight="1" x14ac:dyDescent="0.2">
      <c r="A950" s="14" t="s">
        <v>769</v>
      </c>
      <c r="B950" s="14" t="s">
        <v>217</v>
      </c>
      <c r="C950" s="14"/>
      <c r="D950" s="14"/>
      <c r="E950" s="12" t="s">
        <v>218</v>
      </c>
      <c r="F950" s="66">
        <f t="shared" si="187"/>
        <v>462</v>
      </c>
      <c r="G950" s="66">
        <f t="shared" si="187"/>
        <v>360</v>
      </c>
      <c r="H950" s="66">
        <f t="shared" si="187"/>
        <v>360</v>
      </c>
    </row>
    <row r="951" spans="1:8" ht="25.5" customHeight="1" x14ac:dyDescent="0.2">
      <c r="A951" s="14" t="s">
        <v>769</v>
      </c>
      <c r="B951" s="14" t="s">
        <v>771</v>
      </c>
      <c r="C951" s="14" t="s">
        <v>772</v>
      </c>
      <c r="D951" s="14" t="s">
        <v>220</v>
      </c>
      <c r="E951" s="10" t="s">
        <v>773</v>
      </c>
      <c r="F951" s="77">
        <f>360+102</f>
        <v>462</v>
      </c>
      <c r="G951" s="66">
        <v>360</v>
      </c>
      <c r="H951" s="66">
        <v>360</v>
      </c>
    </row>
    <row r="952" spans="1:8" ht="33.75" customHeight="1" x14ac:dyDescent="0.2">
      <c r="A952" s="9" t="s">
        <v>774</v>
      </c>
      <c r="B952" s="9" t="s">
        <v>13</v>
      </c>
      <c r="C952" s="9"/>
      <c r="D952" s="9"/>
      <c r="E952" s="10" t="s">
        <v>775</v>
      </c>
      <c r="F952" s="69">
        <f t="shared" ref="F952:H953" si="188">F953</f>
        <v>122</v>
      </c>
      <c r="G952" s="69">
        <f t="shared" si="188"/>
        <v>122</v>
      </c>
      <c r="H952" s="69">
        <f t="shared" si="188"/>
        <v>122</v>
      </c>
    </row>
    <row r="953" spans="1:8" ht="21" customHeight="1" x14ac:dyDescent="0.2">
      <c r="A953" s="9" t="s">
        <v>774</v>
      </c>
      <c r="B953" s="9" t="s">
        <v>448</v>
      </c>
      <c r="C953" s="9"/>
      <c r="D953" s="9"/>
      <c r="E953" s="12" t="s">
        <v>449</v>
      </c>
      <c r="F953" s="69">
        <f t="shared" si="188"/>
        <v>122</v>
      </c>
      <c r="G953" s="69">
        <f t="shared" si="188"/>
        <v>122</v>
      </c>
      <c r="H953" s="69">
        <f t="shared" si="188"/>
        <v>122</v>
      </c>
    </row>
    <row r="954" spans="1:8" ht="20.25" customHeight="1" x14ac:dyDescent="0.2">
      <c r="A954" s="9" t="s">
        <v>774</v>
      </c>
      <c r="B954" s="9" t="s">
        <v>450</v>
      </c>
      <c r="C954" s="9" t="s">
        <v>64</v>
      </c>
      <c r="D954" s="9" t="s">
        <v>439</v>
      </c>
      <c r="E954" s="10" t="s">
        <v>451</v>
      </c>
      <c r="F954" s="66">
        <f>105+17</f>
        <v>122</v>
      </c>
      <c r="G954" s="66">
        <f>105+17</f>
        <v>122</v>
      </c>
      <c r="H954" s="66">
        <f>105+17</f>
        <v>122</v>
      </c>
    </row>
    <row r="955" spans="1:8" ht="38.1" customHeight="1" x14ac:dyDescent="0.2">
      <c r="A955" s="9" t="s">
        <v>776</v>
      </c>
      <c r="B955" s="9" t="s">
        <v>13</v>
      </c>
      <c r="C955" s="9"/>
      <c r="D955" s="9"/>
      <c r="E955" s="10" t="s">
        <v>777</v>
      </c>
      <c r="F955" s="66">
        <f>F956</f>
        <v>245</v>
      </c>
      <c r="G955" s="66">
        <f>G956</f>
        <v>245</v>
      </c>
      <c r="H955" s="66">
        <f>H956</f>
        <v>245</v>
      </c>
    </row>
    <row r="956" spans="1:8" ht="31.5" customHeight="1" x14ac:dyDescent="0.2">
      <c r="A956" s="9" t="s">
        <v>776</v>
      </c>
      <c r="B956" s="9" t="s">
        <v>61</v>
      </c>
      <c r="C956" s="9"/>
      <c r="D956" s="9"/>
      <c r="E956" s="12" t="s">
        <v>62</v>
      </c>
      <c r="F956" s="66">
        <f>F957+F958</f>
        <v>245</v>
      </c>
      <c r="G956" s="66">
        <f>G957+G958</f>
        <v>245</v>
      </c>
      <c r="H956" s="66">
        <f>H957+H958</f>
        <v>245</v>
      </c>
    </row>
    <row r="957" spans="1:8" ht="38.25" customHeight="1" x14ac:dyDescent="0.2">
      <c r="A957" s="9" t="s">
        <v>776</v>
      </c>
      <c r="B957" s="9" t="s">
        <v>63</v>
      </c>
      <c r="C957" s="9" t="s">
        <v>64</v>
      </c>
      <c r="D957" s="9" t="s">
        <v>561</v>
      </c>
      <c r="E957" s="10" t="s">
        <v>65</v>
      </c>
      <c r="F957" s="66">
        <v>150</v>
      </c>
      <c r="G957" s="66">
        <v>150</v>
      </c>
      <c r="H957" s="66">
        <v>150</v>
      </c>
    </row>
    <row r="958" spans="1:8" ht="36.75" customHeight="1" x14ac:dyDescent="0.2">
      <c r="A958" s="9" t="s">
        <v>776</v>
      </c>
      <c r="B958" s="9" t="s">
        <v>63</v>
      </c>
      <c r="C958" s="9" t="s">
        <v>778</v>
      </c>
      <c r="D958" s="9" t="s">
        <v>561</v>
      </c>
      <c r="E958" s="10" t="s">
        <v>65</v>
      </c>
      <c r="F958" s="66">
        <v>95</v>
      </c>
      <c r="G958" s="66">
        <v>95</v>
      </c>
      <c r="H958" s="66">
        <v>95</v>
      </c>
    </row>
    <row r="959" spans="1:8" ht="33" customHeight="1" x14ac:dyDescent="0.2">
      <c r="A959" s="15" t="s">
        <v>779</v>
      </c>
      <c r="B959" s="15" t="s">
        <v>13</v>
      </c>
      <c r="C959" s="9"/>
      <c r="D959" s="9"/>
      <c r="E959" s="22" t="s">
        <v>780</v>
      </c>
      <c r="F959" s="66">
        <f>F960+F962+F964</f>
        <v>2364.1099999999997</v>
      </c>
      <c r="G959" s="66">
        <f>G964</f>
        <v>0</v>
      </c>
      <c r="H959" s="66">
        <f>H964</f>
        <v>0</v>
      </c>
    </row>
    <row r="960" spans="1:8" ht="33" customHeight="1" x14ac:dyDescent="0.2">
      <c r="A960" s="15" t="s">
        <v>779</v>
      </c>
      <c r="B960" s="15" t="s">
        <v>61</v>
      </c>
      <c r="C960" s="9"/>
      <c r="D960" s="9"/>
      <c r="E960" s="22" t="s">
        <v>62</v>
      </c>
      <c r="F960" s="66">
        <f>F961</f>
        <v>276.11548999999997</v>
      </c>
      <c r="G960" s="66">
        <f>G961</f>
        <v>0</v>
      </c>
      <c r="H960" s="66">
        <f>H961</f>
        <v>0</v>
      </c>
    </row>
    <row r="961" spans="1:8" ht="33" customHeight="1" x14ac:dyDescent="0.2">
      <c r="A961" s="15" t="s">
        <v>779</v>
      </c>
      <c r="B961" s="15" t="s">
        <v>63</v>
      </c>
      <c r="C961" s="9" t="s">
        <v>64</v>
      </c>
      <c r="D961" s="9" t="s">
        <v>439</v>
      </c>
      <c r="E961" s="22" t="s">
        <v>65</v>
      </c>
      <c r="F961" s="66">
        <f>3.35669+157.64175+87.67989+7.43716+20</f>
        <v>276.11548999999997</v>
      </c>
      <c r="G961" s="66">
        <v>0</v>
      </c>
      <c r="H961" s="66">
        <v>0</v>
      </c>
    </row>
    <row r="962" spans="1:8" ht="33" customHeight="1" x14ac:dyDescent="0.2">
      <c r="A962" s="15" t="s">
        <v>779</v>
      </c>
      <c r="B962" s="15" t="s">
        <v>228</v>
      </c>
      <c r="C962" s="9"/>
      <c r="D962" s="9"/>
      <c r="E962" s="22" t="s">
        <v>229</v>
      </c>
      <c r="F962" s="66">
        <f t="shared" ref="F962:H962" si="189">F963</f>
        <v>600</v>
      </c>
      <c r="G962" s="66">
        <f t="shared" si="189"/>
        <v>0</v>
      </c>
      <c r="H962" s="66">
        <f t="shared" si="189"/>
        <v>0</v>
      </c>
    </row>
    <row r="963" spans="1:8" ht="23.25" customHeight="1" x14ac:dyDescent="0.2">
      <c r="A963" s="15" t="s">
        <v>779</v>
      </c>
      <c r="B963" s="15" t="s">
        <v>230</v>
      </c>
      <c r="C963" s="9" t="s">
        <v>64</v>
      </c>
      <c r="D963" s="9" t="s">
        <v>439</v>
      </c>
      <c r="E963" s="16" t="s">
        <v>231</v>
      </c>
      <c r="F963" s="66">
        <v>600</v>
      </c>
      <c r="G963" s="66">
        <v>0</v>
      </c>
      <c r="H963" s="66">
        <v>0</v>
      </c>
    </row>
    <row r="964" spans="1:8" ht="21.75" customHeight="1" x14ac:dyDescent="0.2">
      <c r="A964" s="9" t="s">
        <v>779</v>
      </c>
      <c r="B964" s="9" t="s">
        <v>448</v>
      </c>
      <c r="C964" s="9"/>
      <c r="D964" s="9"/>
      <c r="E964" s="20" t="s">
        <v>449</v>
      </c>
      <c r="F964" s="66">
        <f>F965+F966</f>
        <v>1487.9945099999995</v>
      </c>
      <c r="G964" s="66">
        <f>G965+G966</f>
        <v>0</v>
      </c>
      <c r="H964" s="66">
        <f>H965+H966</f>
        <v>0</v>
      </c>
    </row>
    <row r="965" spans="1:8" ht="29.1" customHeight="1" x14ac:dyDescent="0.2">
      <c r="A965" s="9" t="s">
        <v>779</v>
      </c>
      <c r="B965" s="9" t="s">
        <v>781</v>
      </c>
      <c r="C965" s="9" t="s">
        <v>64</v>
      </c>
      <c r="D965" s="9" t="s">
        <v>439</v>
      </c>
      <c r="E965" s="22" t="s">
        <v>782</v>
      </c>
      <c r="F965" s="77">
        <f>1364.11-3.35669-170-600-114.33811-88.67989+19.92231+12+50</f>
        <v>469.65761999999978</v>
      </c>
      <c r="G965" s="66">
        <v>0</v>
      </c>
      <c r="H965" s="66">
        <v>0</v>
      </c>
    </row>
    <row r="966" spans="1:8" ht="21.75" customHeight="1" x14ac:dyDescent="0.2">
      <c r="A966" s="9" t="s">
        <v>779</v>
      </c>
      <c r="B966" s="9" t="s">
        <v>450</v>
      </c>
      <c r="C966" s="9" t="s">
        <v>64</v>
      </c>
      <c r="D966" s="9" t="s">
        <v>439</v>
      </c>
      <c r="E966" s="22" t="s">
        <v>451</v>
      </c>
      <c r="F966" s="77">
        <f>1000+170-43.30364+1-27.35947-32-50</f>
        <v>1018.3368899999998</v>
      </c>
      <c r="G966" s="66">
        <v>0</v>
      </c>
      <c r="H966" s="66">
        <v>0</v>
      </c>
    </row>
    <row r="967" spans="1:8" ht="51" customHeight="1" x14ac:dyDescent="0.2">
      <c r="A967" s="9" t="s">
        <v>783</v>
      </c>
      <c r="B967" s="9" t="s">
        <v>13</v>
      </c>
      <c r="C967" s="9"/>
      <c r="D967" s="9"/>
      <c r="E967" s="12" t="s">
        <v>784</v>
      </c>
      <c r="F967" s="66">
        <f t="shared" ref="F967:H968" si="190">F968</f>
        <v>25390.1</v>
      </c>
      <c r="G967" s="66">
        <f t="shared" si="190"/>
        <v>25390.1</v>
      </c>
      <c r="H967" s="66">
        <f t="shared" si="190"/>
        <v>25390.1</v>
      </c>
    </row>
    <row r="968" spans="1:8" ht="32.25" customHeight="1" x14ac:dyDescent="0.2">
      <c r="A968" s="9" t="s">
        <v>783</v>
      </c>
      <c r="B968" s="9" t="s">
        <v>61</v>
      </c>
      <c r="C968" s="9"/>
      <c r="D968" s="9"/>
      <c r="E968" s="10" t="s">
        <v>62</v>
      </c>
      <c r="F968" s="66">
        <f t="shared" si="190"/>
        <v>25390.1</v>
      </c>
      <c r="G968" s="66">
        <f t="shared" si="190"/>
        <v>25390.1</v>
      </c>
      <c r="H968" s="66">
        <f t="shared" si="190"/>
        <v>25390.1</v>
      </c>
    </row>
    <row r="969" spans="1:8" ht="36.75" customHeight="1" x14ac:dyDescent="0.2">
      <c r="A969" s="9" t="s">
        <v>783</v>
      </c>
      <c r="B969" s="9" t="s">
        <v>63</v>
      </c>
      <c r="C969" s="9" t="s">
        <v>64</v>
      </c>
      <c r="D969" s="9" t="s">
        <v>289</v>
      </c>
      <c r="E969" s="10" t="s">
        <v>65</v>
      </c>
      <c r="F969" s="66">
        <f>25390.1</f>
        <v>25390.1</v>
      </c>
      <c r="G969" s="66">
        <v>25390.1</v>
      </c>
      <c r="H969" s="66">
        <v>25390.1</v>
      </c>
    </row>
    <row r="970" spans="1:8" ht="26.25" customHeight="1" x14ac:dyDescent="0.2">
      <c r="A970" s="9" t="s">
        <v>785</v>
      </c>
      <c r="B970" s="9" t="s">
        <v>13</v>
      </c>
      <c r="C970" s="9"/>
      <c r="D970" s="9"/>
      <c r="E970" s="22" t="s">
        <v>786</v>
      </c>
      <c r="F970" s="66">
        <f>F972+F974+F976</f>
        <v>54961.635999999999</v>
      </c>
      <c r="G970" s="66">
        <f>G972+G974+G976</f>
        <v>53180.5</v>
      </c>
      <c r="H970" s="66">
        <f>H972+H974+H976</f>
        <v>53180.5</v>
      </c>
    </row>
    <row r="971" spans="1:8" ht="66" customHeight="1" x14ac:dyDescent="0.2">
      <c r="A971" s="9" t="s">
        <v>785</v>
      </c>
      <c r="B971" s="9" t="s">
        <v>78</v>
      </c>
      <c r="C971" s="9"/>
      <c r="D971" s="9"/>
      <c r="E971" s="10" t="s">
        <v>79</v>
      </c>
      <c r="F971" s="66">
        <f>F972</f>
        <v>54821.635999999999</v>
      </c>
      <c r="G971" s="66">
        <f>G972</f>
        <v>53080.5</v>
      </c>
      <c r="H971" s="66">
        <f>H972</f>
        <v>53080.5</v>
      </c>
    </row>
    <row r="972" spans="1:8" ht="26.25" customHeight="1" x14ac:dyDescent="0.2">
      <c r="A972" s="9" t="s">
        <v>785</v>
      </c>
      <c r="B972" s="9" t="s">
        <v>80</v>
      </c>
      <c r="C972" s="9" t="s">
        <v>64</v>
      </c>
      <c r="D972" s="9" t="s">
        <v>439</v>
      </c>
      <c r="E972" s="45" t="s">
        <v>82</v>
      </c>
      <c r="F972" s="66">
        <f>53716.6-100-536.1-40+1781.136</f>
        <v>54821.635999999999</v>
      </c>
      <c r="G972" s="68">
        <f>53716.6-100-536.1</f>
        <v>53080.5</v>
      </c>
      <c r="H972" s="68">
        <f>53716.6-100-536.1</f>
        <v>53080.5</v>
      </c>
    </row>
    <row r="973" spans="1:8" ht="41.1" customHeight="1" x14ac:dyDescent="0.2">
      <c r="A973" s="9" t="s">
        <v>785</v>
      </c>
      <c r="B973" s="9" t="s">
        <v>61</v>
      </c>
      <c r="C973" s="9"/>
      <c r="D973" s="9"/>
      <c r="E973" s="10" t="s">
        <v>62</v>
      </c>
      <c r="F973" s="66">
        <f>F974</f>
        <v>100</v>
      </c>
      <c r="G973" s="66">
        <f>G974</f>
        <v>100</v>
      </c>
      <c r="H973" s="66">
        <f>H974</f>
        <v>100</v>
      </c>
    </row>
    <row r="974" spans="1:8" ht="36" customHeight="1" x14ac:dyDescent="0.2">
      <c r="A974" s="9" t="s">
        <v>785</v>
      </c>
      <c r="B974" s="9" t="s">
        <v>63</v>
      </c>
      <c r="C974" s="9" t="s">
        <v>64</v>
      </c>
      <c r="D974" s="9" t="s">
        <v>439</v>
      </c>
      <c r="E974" s="10" t="s">
        <v>65</v>
      </c>
      <c r="F974" s="66">
        <v>100</v>
      </c>
      <c r="G974" s="66">
        <v>100</v>
      </c>
      <c r="H974" s="66">
        <v>100</v>
      </c>
    </row>
    <row r="975" spans="1:8" ht="26.1" customHeight="1" x14ac:dyDescent="0.2">
      <c r="A975" s="15" t="s">
        <v>785</v>
      </c>
      <c r="B975" s="15" t="s">
        <v>217</v>
      </c>
      <c r="C975" s="9"/>
      <c r="D975" s="9"/>
      <c r="E975" s="21" t="s">
        <v>218</v>
      </c>
      <c r="F975" s="66">
        <f>F976</f>
        <v>40</v>
      </c>
      <c r="G975" s="66">
        <f>G976</f>
        <v>0</v>
      </c>
      <c r="H975" s="66">
        <f>H976</f>
        <v>0</v>
      </c>
    </row>
    <row r="976" spans="1:8" ht="36" customHeight="1" x14ac:dyDescent="0.2">
      <c r="A976" s="15" t="s">
        <v>785</v>
      </c>
      <c r="B976" s="15" t="s">
        <v>669</v>
      </c>
      <c r="C976" s="9" t="s">
        <v>64</v>
      </c>
      <c r="D976" s="9" t="s">
        <v>439</v>
      </c>
      <c r="E976" s="21" t="s">
        <v>670</v>
      </c>
      <c r="F976" s="66">
        <f>20+20</f>
        <v>40</v>
      </c>
      <c r="G976" s="66">
        <v>0</v>
      </c>
      <c r="H976" s="66">
        <v>0</v>
      </c>
    </row>
    <row r="977" spans="1:8" ht="39" customHeight="1" x14ac:dyDescent="0.2">
      <c r="A977" s="9" t="s">
        <v>787</v>
      </c>
      <c r="B977" s="9" t="s">
        <v>13</v>
      </c>
      <c r="C977" s="9"/>
      <c r="D977" s="9"/>
      <c r="E977" s="10" t="s">
        <v>788</v>
      </c>
      <c r="F977" s="66">
        <f>F979+F981</f>
        <v>117712.48000000001</v>
      </c>
      <c r="G977" s="66">
        <f>G979+G981</f>
        <v>78032.800000000003</v>
      </c>
      <c r="H977" s="66">
        <f>H979+H981</f>
        <v>78032.100000000006</v>
      </c>
    </row>
    <row r="978" spans="1:8" ht="66.75" customHeight="1" x14ac:dyDescent="0.2">
      <c r="A978" s="9" t="s">
        <v>787</v>
      </c>
      <c r="B978" s="9" t="s">
        <v>78</v>
      </c>
      <c r="C978" s="9"/>
      <c r="D978" s="9"/>
      <c r="E978" s="12" t="s">
        <v>79</v>
      </c>
      <c r="F978" s="66">
        <f>F979</f>
        <v>57369.5</v>
      </c>
      <c r="G978" s="66">
        <f>G979</f>
        <v>57369.5</v>
      </c>
      <c r="H978" s="66">
        <f>H979</f>
        <v>57369.5</v>
      </c>
    </row>
    <row r="979" spans="1:8" ht="22.5" customHeight="1" x14ac:dyDescent="0.2">
      <c r="A979" s="9" t="s">
        <v>787</v>
      </c>
      <c r="B979" s="9" t="s">
        <v>80</v>
      </c>
      <c r="C979" s="9" t="s">
        <v>64</v>
      </c>
      <c r="D979" s="9" t="s">
        <v>439</v>
      </c>
      <c r="E979" s="12" t="s">
        <v>82</v>
      </c>
      <c r="F979" s="68">
        <f>57949-579.5</f>
        <v>57369.5</v>
      </c>
      <c r="G979" s="68">
        <f>57949-579.5</f>
        <v>57369.5</v>
      </c>
      <c r="H979" s="68">
        <f>57949-579.5</f>
        <v>57369.5</v>
      </c>
    </row>
    <row r="980" spans="1:8" ht="36.75" customHeight="1" x14ac:dyDescent="0.2">
      <c r="A980" s="9" t="s">
        <v>787</v>
      </c>
      <c r="B980" s="9" t="s">
        <v>61</v>
      </c>
      <c r="C980" s="9"/>
      <c r="D980" s="9"/>
      <c r="E980" s="10" t="s">
        <v>62</v>
      </c>
      <c r="F980" s="66">
        <f>F981</f>
        <v>60342.98000000001</v>
      </c>
      <c r="G980" s="66">
        <f>G981</f>
        <v>20663.300000000007</v>
      </c>
      <c r="H980" s="66">
        <f>H981</f>
        <v>20662.600000000006</v>
      </c>
    </row>
    <row r="981" spans="1:8" ht="34.5" customHeight="1" x14ac:dyDescent="0.2">
      <c r="A981" s="9" t="s">
        <v>787</v>
      </c>
      <c r="B981" s="9" t="s">
        <v>63</v>
      </c>
      <c r="C981" s="9" t="s">
        <v>64</v>
      </c>
      <c r="D981" s="9" t="s">
        <v>439</v>
      </c>
      <c r="E981" s="10" t="s">
        <v>65</v>
      </c>
      <c r="F981" s="77">
        <f>66162.6+500-191.484-1781.136-4000-347</f>
        <v>60342.98000000001</v>
      </c>
      <c r="G981" s="66">
        <f>66162.6+500-46000+0.7</f>
        <v>20663.300000000007</v>
      </c>
      <c r="H981" s="66">
        <f>66162.6+500-46000</f>
        <v>20662.600000000006</v>
      </c>
    </row>
    <row r="982" spans="1:8" ht="32.25" customHeight="1" x14ac:dyDescent="0.2">
      <c r="A982" s="9" t="s">
        <v>789</v>
      </c>
      <c r="B982" s="9" t="s">
        <v>13</v>
      </c>
      <c r="C982" s="9"/>
      <c r="D982" s="9"/>
      <c r="E982" s="10" t="s">
        <v>790</v>
      </c>
      <c r="F982" s="66">
        <f>F984+F985</f>
        <v>18344.199999999997</v>
      </c>
      <c r="G982" s="66">
        <f>G984+G985</f>
        <v>18344.199999999997</v>
      </c>
      <c r="H982" s="66">
        <f>H984+H985</f>
        <v>18344.199999999997</v>
      </c>
    </row>
    <row r="983" spans="1:8" ht="66" customHeight="1" x14ac:dyDescent="0.2">
      <c r="A983" s="9" t="s">
        <v>789</v>
      </c>
      <c r="B983" s="9" t="s">
        <v>78</v>
      </c>
      <c r="C983" s="9"/>
      <c r="D983" s="9"/>
      <c r="E983" s="12" t="s">
        <v>79</v>
      </c>
      <c r="F983" s="66">
        <f>F984</f>
        <v>17861.399999999998</v>
      </c>
      <c r="G983" s="66">
        <f>G984</f>
        <v>17861.399999999998</v>
      </c>
      <c r="H983" s="66">
        <f>H984</f>
        <v>17861.399999999998</v>
      </c>
    </row>
    <row r="984" spans="1:8" ht="18.75" customHeight="1" x14ac:dyDescent="0.2">
      <c r="A984" s="14" t="s">
        <v>789</v>
      </c>
      <c r="B984" s="14" t="s">
        <v>80</v>
      </c>
      <c r="C984" s="14" t="s">
        <v>64</v>
      </c>
      <c r="D984" s="14" t="s">
        <v>439</v>
      </c>
      <c r="E984" s="12" t="s">
        <v>82</v>
      </c>
      <c r="F984" s="68">
        <f>18041.8-180.4</f>
        <v>17861.399999999998</v>
      </c>
      <c r="G984" s="68">
        <f>18041.8-180.4</f>
        <v>17861.399999999998</v>
      </c>
      <c r="H984" s="68">
        <f>18041.8-180.4</f>
        <v>17861.399999999998</v>
      </c>
    </row>
    <row r="985" spans="1:8" ht="36.75" customHeight="1" x14ac:dyDescent="0.2">
      <c r="A985" s="9" t="s">
        <v>789</v>
      </c>
      <c r="B985" s="9" t="s">
        <v>61</v>
      </c>
      <c r="C985" s="9"/>
      <c r="D985" s="9"/>
      <c r="E985" s="10" t="s">
        <v>62</v>
      </c>
      <c r="F985" s="66">
        <f>F986</f>
        <v>482.8</v>
      </c>
      <c r="G985" s="66">
        <f>G986</f>
        <v>482.8</v>
      </c>
      <c r="H985" s="66">
        <f>H986</f>
        <v>482.8</v>
      </c>
    </row>
    <row r="986" spans="1:8" ht="34.5" customHeight="1" x14ac:dyDescent="0.2">
      <c r="A986" s="9" t="s">
        <v>789</v>
      </c>
      <c r="B986" s="9" t="s">
        <v>63</v>
      </c>
      <c r="C986" s="9" t="s">
        <v>64</v>
      </c>
      <c r="D986" s="9" t="s">
        <v>439</v>
      </c>
      <c r="E986" s="10" t="s">
        <v>65</v>
      </c>
      <c r="F986" s="66">
        <v>482.8</v>
      </c>
      <c r="G986" s="66">
        <v>482.8</v>
      </c>
      <c r="H986" s="66">
        <v>482.8</v>
      </c>
    </row>
    <row r="987" spans="1:8" ht="37.5" customHeight="1" x14ac:dyDescent="0.2">
      <c r="A987" s="9" t="s">
        <v>791</v>
      </c>
      <c r="B987" s="9" t="s">
        <v>13</v>
      </c>
      <c r="C987" s="9"/>
      <c r="D987" s="9"/>
      <c r="E987" s="10" t="s">
        <v>792</v>
      </c>
      <c r="F987" s="66">
        <f>F993+F996+F1001+F1006+F1011+F988</f>
        <v>8740.5</v>
      </c>
      <c r="G987" s="66">
        <f>G993+G996+G1001+G1006+G1011+G988</f>
        <v>9314.4000000000015</v>
      </c>
      <c r="H987" s="66">
        <f>H993+H996+H1001+H1006+H1011+H988</f>
        <v>9329.9</v>
      </c>
    </row>
    <row r="988" spans="1:8" ht="51" customHeight="1" x14ac:dyDescent="0.2">
      <c r="A988" s="9" t="s">
        <v>793</v>
      </c>
      <c r="B988" s="9" t="s">
        <v>13</v>
      </c>
      <c r="C988" s="9"/>
      <c r="D988" s="9"/>
      <c r="E988" s="10" t="s">
        <v>794</v>
      </c>
      <c r="F988" s="66">
        <f>F990+F991</f>
        <v>1216.3</v>
      </c>
      <c r="G988" s="66">
        <f>G990+G991</f>
        <v>1223.9000000000001</v>
      </c>
      <c r="H988" s="66">
        <f>H990+H991</f>
        <v>1232</v>
      </c>
    </row>
    <row r="989" spans="1:8" ht="66.75" customHeight="1" x14ac:dyDescent="0.2">
      <c r="A989" s="9" t="s">
        <v>793</v>
      </c>
      <c r="B989" s="9" t="s">
        <v>78</v>
      </c>
      <c r="C989" s="9"/>
      <c r="D989" s="9"/>
      <c r="E989" s="10" t="s">
        <v>79</v>
      </c>
      <c r="F989" s="66">
        <f>F990</f>
        <v>1210.3</v>
      </c>
      <c r="G989" s="66">
        <f>G990</f>
        <v>1217.9000000000001</v>
      </c>
      <c r="H989" s="66">
        <f>H990</f>
        <v>1226</v>
      </c>
    </row>
    <row r="990" spans="1:8" ht="30" customHeight="1" x14ac:dyDescent="0.2">
      <c r="A990" s="9" t="s">
        <v>793</v>
      </c>
      <c r="B990" s="9" t="s">
        <v>795</v>
      </c>
      <c r="C990" s="9" t="s">
        <v>64</v>
      </c>
      <c r="D990" s="9" t="s">
        <v>106</v>
      </c>
      <c r="E990" s="10" t="s">
        <v>796</v>
      </c>
      <c r="F990" s="66">
        <f>882.9-6+333.4</f>
        <v>1210.3</v>
      </c>
      <c r="G990" s="66">
        <f>890.7-6+333.2</f>
        <v>1217.9000000000001</v>
      </c>
      <c r="H990" s="66">
        <f>898.8-6+333.2</f>
        <v>1226</v>
      </c>
    </row>
    <row r="991" spans="1:8" ht="36" customHeight="1" x14ac:dyDescent="0.2">
      <c r="A991" s="9" t="s">
        <v>793</v>
      </c>
      <c r="B991" s="9" t="s">
        <v>61</v>
      </c>
      <c r="C991" s="9"/>
      <c r="D991" s="9"/>
      <c r="E991" s="10" t="s">
        <v>62</v>
      </c>
      <c r="F991" s="70">
        <f>F992</f>
        <v>6</v>
      </c>
      <c r="G991" s="70">
        <f>G992</f>
        <v>6</v>
      </c>
      <c r="H991" s="70">
        <f>H992</f>
        <v>6</v>
      </c>
    </row>
    <row r="992" spans="1:8" ht="36" customHeight="1" x14ac:dyDescent="0.2">
      <c r="A992" s="9" t="s">
        <v>793</v>
      </c>
      <c r="B992" s="9" t="s">
        <v>63</v>
      </c>
      <c r="C992" s="9" t="s">
        <v>64</v>
      </c>
      <c r="D992" s="9" t="s">
        <v>106</v>
      </c>
      <c r="E992" s="10" t="s">
        <v>65</v>
      </c>
      <c r="F992" s="76">
        <v>6</v>
      </c>
      <c r="G992" s="76">
        <v>6</v>
      </c>
      <c r="H992" s="76">
        <v>6</v>
      </c>
    </row>
    <row r="993" spans="1:8" ht="65.25" customHeight="1" x14ac:dyDescent="0.2">
      <c r="A993" s="9" t="s">
        <v>797</v>
      </c>
      <c r="B993" s="9" t="s">
        <v>13</v>
      </c>
      <c r="C993" s="9"/>
      <c r="D993" s="9"/>
      <c r="E993" s="10" t="s">
        <v>798</v>
      </c>
      <c r="F993" s="66">
        <f>F995</f>
        <v>622.70000000000005</v>
      </c>
      <c r="G993" s="66">
        <f>G995</f>
        <v>625.70000000000005</v>
      </c>
      <c r="H993" s="66">
        <f>H995</f>
        <v>625.4</v>
      </c>
    </row>
    <row r="994" spans="1:8" ht="64.5" customHeight="1" x14ac:dyDescent="0.2">
      <c r="A994" s="9" t="s">
        <v>797</v>
      </c>
      <c r="B994" s="9" t="s">
        <v>78</v>
      </c>
      <c r="C994" s="9"/>
      <c r="D994" s="9"/>
      <c r="E994" s="10" t="s">
        <v>79</v>
      </c>
      <c r="F994" s="66">
        <f>F995</f>
        <v>622.70000000000005</v>
      </c>
      <c r="G994" s="66">
        <f>G995</f>
        <v>625.70000000000005</v>
      </c>
      <c r="H994" s="66">
        <f>H995</f>
        <v>625.4</v>
      </c>
    </row>
    <row r="995" spans="1:8" ht="36" customHeight="1" x14ac:dyDescent="0.2">
      <c r="A995" s="9" t="s">
        <v>797</v>
      </c>
      <c r="B995" s="9" t="s">
        <v>795</v>
      </c>
      <c r="C995" s="9" t="s">
        <v>64</v>
      </c>
      <c r="D995" s="9" t="s">
        <v>439</v>
      </c>
      <c r="E995" s="10" t="s">
        <v>796</v>
      </c>
      <c r="F995" s="66">
        <f>389.4+233.3</f>
        <v>622.70000000000005</v>
      </c>
      <c r="G995" s="66">
        <f>392.4+233.3</f>
        <v>625.70000000000005</v>
      </c>
      <c r="H995" s="66">
        <f>392.8+232.6</f>
        <v>625.4</v>
      </c>
    </row>
    <row r="996" spans="1:8" ht="34.5" customHeight="1" x14ac:dyDescent="0.2">
      <c r="A996" s="9" t="s">
        <v>799</v>
      </c>
      <c r="B996" s="9" t="s">
        <v>13</v>
      </c>
      <c r="C996" s="9"/>
      <c r="D996" s="9"/>
      <c r="E996" s="10" t="s">
        <v>800</v>
      </c>
      <c r="F996" s="66">
        <f>F998+F999</f>
        <v>759.5</v>
      </c>
      <c r="G996" s="66">
        <f>G998+G999</f>
        <v>729.5</v>
      </c>
      <c r="H996" s="66">
        <f>H998+H999</f>
        <v>729.5</v>
      </c>
    </row>
    <row r="997" spans="1:8" ht="66.75" customHeight="1" x14ac:dyDescent="0.2">
      <c r="A997" s="9" t="s">
        <v>799</v>
      </c>
      <c r="B997" s="9" t="s">
        <v>78</v>
      </c>
      <c r="C997" s="9"/>
      <c r="D997" s="9"/>
      <c r="E997" s="12" t="s">
        <v>79</v>
      </c>
      <c r="F997" s="66">
        <f>F998</f>
        <v>708.8</v>
      </c>
      <c r="G997" s="66">
        <f>G998</f>
        <v>708.8</v>
      </c>
      <c r="H997" s="66">
        <f>H998</f>
        <v>708.8</v>
      </c>
    </row>
    <row r="998" spans="1:8" ht="33.75" customHeight="1" x14ac:dyDescent="0.2">
      <c r="A998" s="9" t="s">
        <v>799</v>
      </c>
      <c r="B998" s="9" t="s">
        <v>795</v>
      </c>
      <c r="C998" s="9" t="s">
        <v>64</v>
      </c>
      <c r="D998" s="9" t="s">
        <v>439</v>
      </c>
      <c r="E998" s="10" t="s">
        <v>796</v>
      </c>
      <c r="F998" s="66">
        <v>708.8</v>
      </c>
      <c r="G998" s="66">
        <v>708.8</v>
      </c>
      <c r="H998" s="66">
        <v>708.8</v>
      </c>
    </row>
    <row r="999" spans="1:8" ht="35.25" customHeight="1" x14ac:dyDescent="0.2">
      <c r="A999" s="9" t="s">
        <v>799</v>
      </c>
      <c r="B999" s="9" t="s">
        <v>61</v>
      </c>
      <c r="C999" s="9"/>
      <c r="D999" s="9"/>
      <c r="E999" s="10" t="s">
        <v>62</v>
      </c>
      <c r="F999" s="66">
        <f>F1000</f>
        <v>50.7</v>
      </c>
      <c r="G999" s="66">
        <f>G1000</f>
        <v>20.7</v>
      </c>
      <c r="H999" s="66">
        <f>H1000</f>
        <v>20.7</v>
      </c>
    </row>
    <row r="1000" spans="1:8" ht="35.25" customHeight="1" x14ac:dyDescent="0.2">
      <c r="A1000" s="9" t="s">
        <v>799</v>
      </c>
      <c r="B1000" s="9" t="s">
        <v>63</v>
      </c>
      <c r="C1000" s="9" t="s">
        <v>64</v>
      </c>
      <c r="D1000" s="9" t="s">
        <v>439</v>
      </c>
      <c r="E1000" s="10" t="s">
        <v>65</v>
      </c>
      <c r="F1000" s="66">
        <f>20.7+30</f>
        <v>50.7</v>
      </c>
      <c r="G1000" s="66">
        <v>20.7</v>
      </c>
      <c r="H1000" s="66">
        <v>20.7</v>
      </c>
    </row>
    <row r="1001" spans="1:8" ht="31.5" customHeight="1" x14ac:dyDescent="0.2">
      <c r="A1001" s="9" t="s">
        <v>801</v>
      </c>
      <c r="B1001" s="9" t="s">
        <v>13</v>
      </c>
      <c r="C1001" s="9"/>
      <c r="D1001" s="9"/>
      <c r="E1001" s="10" t="s">
        <v>802</v>
      </c>
      <c r="F1001" s="66">
        <f>F1003+F1004</f>
        <v>1106.7</v>
      </c>
      <c r="G1001" s="66">
        <f>G1003+G1004</f>
        <v>1106.7</v>
      </c>
      <c r="H1001" s="66">
        <f>H1003+H1004</f>
        <v>1106.7</v>
      </c>
    </row>
    <row r="1002" spans="1:8" ht="66.95" customHeight="1" x14ac:dyDescent="0.2">
      <c r="A1002" s="9" t="s">
        <v>801</v>
      </c>
      <c r="B1002" s="9" t="s">
        <v>78</v>
      </c>
      <c r="C1002" s="9"/>
      <c r="D1002" s="9"/>
      <c r="E1002" s="10" t="s">
        <v>79</v>
      </c>
      <c r="F1002" s="66">
        <f t="shared" ref="F1002:F1007" si="191">F1003</f>
        <v>1098.3</v>
      </c>
      <c r="G1002" s="66">
        <f t="shared" ref="G1002:G1007" si="192">G1003</f>
        <v>1098.3</v>
      </c>
      <c r="H1002" s="66">
        <f t="shared" ref="H1002:H1007" si="193">H1003</f>
        <v>1098.3</v>
      </c>
    </row>
    <row r="1003" spans="1:8" ht="36.75" customHeight="1" x14ac:dyDescent="0.2">
      <c r="A1003" s="9" t="s">
        <v>801</v>
      </c>
      <c r="B1003" s="9" t="s">
        <v>795</v>
      </c>
      <c r="C1003" s="9" t="s">
        <v>64</v>
      </c>
      <c r="D1003" s="9" t="s">
        <v>106</v>
      </c>
      <c r="E1003" s="10" t="s">
        <v>796</v>
      </c>
      <c r="F1003" s="66">
        <v>1098.3</v>
      </c>
      <c r="G1003" s="66">
        <v>1098.3</v>
      </c>
      <c r="H1003" s="66">
        <v>1098.3</v>
      </c>
    </row>
    <row r="1004" spans="1:8" ht="33" customHeight="1" x14ac:dyDescent="0.2">
      <c r="A1004" s="9" t="s">
        <v>801</v>
      </c>
      <c r="B1004" s="9" t="s">
        <v>61</v>
      </c>
      <c r="C1004" s="9"/>
      <c r="D1004" s="9"/>
      <c r="E1004" s="10" t="s">
        <v>62</v>
      </c>
      <c r="F1004" s="66">
        <f t="shared" si="191"/>
        <v>8.4</v>
      </c>
      <c r="G1004" s="66">
        <f t="shared" si="192"/>
        <v>8.4</v>
      </c>
      <c r="H1004" s="66">
        <f t="shared" si="193"/>
        <v>8.4</v>
      </c>
    </row>
    <row r="1005" spans="1:8" ht="33.75" customHeight="1" x14ac:dyDescent="0.2">
      <c r="A1005" s="9" t="s">
        <v>801</v>
      </c>
      <c r="B1005" s="9" t="s">
        <v>63</v>
      </c>
      <c r="C1005" s="9" t="s">
        <v>64</v>
      </c>
      <c r="D1005" s="9" t="s">
        <v>106</v>
      </c>
      <c r="E1005" s="10" t="s">
        <v>65</v>
      </c>
      <c r="F1005" s="66">
        <v>8.4</v>
      </c>
      <c r="G1005" s="66">
        <v>8.4</v>
      </c>
      <c r="H1005" s="66">
        <v>8.4</v>
      </c>
    </row>
    <row r="1006" spans="1:8" ht="34.5" customHeight="1" x14ac:dyDescent="0.2">
      <c r="A1006" s="9" t="s">
        <v>803</v>
      </c>
      <c r="B1006" s="9" t="s">
        <v>13</v>
      </c>
      <c r="C1006" s="9"/>
      <c r="D1006" s="9"/>
      <c r="E1006" s="10" t="s">
        <v>804</v>
      </c>
      <c r="F1006" s="66">
        <f>F1008+F1009</f>
        <v>5017.1000000000004</v>
      </c>
      <c r="G1006" s="66">
        <f>G1008+G1009</f>
        <v>5431.3</v>
      </c>
      <c r="H1006" s="66">
        <f>H1008+H1009</f>
        <v>5618.5999999999995</v>
      </c>
    </row>
    <row r="1007" spans="1:8" ht="63.75" customHeight="1" x14ac:dyDescent="0.2">
      <c r="A1007" s="9" t="s">
        <v>803</v>
      </c>
      <c r="B1007" s="9" t="s">
        <v>78</v>
      </c>
      <c r="C1007" s="9"/>
      <c r="D1007" s="9"/>
      <c r="E1007" s="10" t="s">
        <v>79</v>
      </c>
      <c r="F1007" s="66">
        <f t="shared" si="191"/>
        <v>4817.1000000000004</v>
      </c>
      <c r="G1007" s="66">
        <f t="shared" si="192"/>
        <v>5231.3</v>
      </c>
      <c r="H1007" s="66">
        <f t="shared" si="193"/>
        <v>5418.5999999999995</v>
      </c>
    </row>
    <row r="1008" spans="1:8" ht="33.75" customHeight="1" x14ac:dyDescent="0.2">
      <c r="A1008" s="9" t="s">
        <v>803</v>
      </c>
      <c r="B1008" s="9" t="s">
        <v>795</v>
      </c>
      <c r="C1008" s="9" t="s">
        <v>64</v>
      </c>
      <c r="D1008" s="9" t="s">
        <v>805</v>
      </c>
      <c r="E1008" s="12" t="s">
        <v>796</v>
      </c>
      <c r="F1008" s="77">
        <f>4781.3-200+202.6+33.2</f>
        <v>4817.1000000000004</v>
      </c>
      <c r="G1008" s="66">
        <f>5234-200+197.3</f>
        <v>5231.3</v>
      </c>
      <c r="H1008" s="66">
        <f>5421.2-200+197.4</f>
        <v>5418.5999999999995</v>
      </c>
    </row>
    <row r="1009" spans="1:8" ht="33.75" customHeight="1" x14ac:dyDescent="0.2">
      <c r="A1009" s="9" t="s">
        <v>803</v>
      </c>
      <c r="B1009" s="9" t="s">
        <v>61</v>
      </c>
      <c r="C1009" s="9"/>
      <c r="D1009" s="9"/>
      <c r="E1009" s="10" t="s">
        <v>62</v>
      </c>
      <c r="F1009" s="66">
        <f>F1010</f>
        <v>200</v>
      </c>
      <c r="G1009" s="66">
        <f>G1010</f>
        <v>200</v>
      </c>
      <c r="H1009" s="66">
        <f>H1010</f>
        <v>200</v>
      </c>
    </row>
    <row r="1010" spans="1:8" ht="33.75" customHeight="1" x14ac:dyDescent="0.2">
      <c r="A1010" s="9" t="s">
        <v>803</v>
      </c>
      <c r="B1010" s="9" t="s">
        <v>63</v>
      </c>
      <c r="C1010" s="9" t="s">
        <v>64</v>
      </c>
      <c r="D1010" s="9" t="s">
        <v>805</v>
      </c>
      <c r="E1010" s="10" t="s">
        <v>65</v>
      </c>
      <c r="F1010" s="66">
        <v>200</v>
      </c>
      <c r="G1010" s="66">
        <v>200</v>
      </c>
      <c r="H1010" s="66">
        <v>200</v>
      </c>
    </row>
    <row r="1011" spans="1:8" ht="49.5" customHeight="1" x14ac:dyDescent="0.2">
      <c r="A1011" s="9" t="s">
        <v>806</v>
      </c>
      <c r="B1011" s="9" t="s">
        <v>13</v>
      </c>
      <c r="C1011" s="9"/>
      <c r="D1011" s="9"/>
      <c r="E1011" s="10" t="s">
        <v>807</v>
      </c>
      <c r="F1011" s="69">
        <f t="shared" ref="F1011:H1012" si="194">F1012</f>
        <v>18.2</v>
      </c>
      <c r="G1011" s="69">
        <f t="shared" si="194"/>
        <v>197.3</v>
      </c>
      <c r="H1011" s="69">
        <f t="shared" si="194"/>
        <v>17.7</v>
      </c>
    </row>
    <row r="1012" spans="1:8" ht="34.5" customHeight="1" x14ac:dyDescent="0.2">
      <c r="A1012" s="9" t="s">
        <v>806</v>
      </c>
      <c r="B1012" s="9" t="s">
        <v>61</v>
      </c>
      <c r="C1012" s="9"/>
      <c r="D1012" s="9"/>
      <c r="E1012" s="10" t="s">
        <v>62</v>
      </c>
      <c r="F1012" s="69">
        <f t="shared" si="194"/>
        <v>18.2</v>
      </c>
      <c r="G1012" s="69">
        <f t="shared" si="194"/>
        <v>197.3</v>
      </c>
      <c r="H1012" s="69">
        <f t="shared" si="194"/>
        <v>17.7</v>
      </c>
    </row>
    <row r="1013" spans="1:8" ht="36" customHeight="1" x14ac:dyDescent="0.2">
      <c r="A1013" s="9" t="s">
        <v>806</v>
      </c>
      <c r="B1013" s="9" t="s">
        <v>63</v>
      </c>
      <c r="C1013" s="9" t="s">
        <v>64</v>
      </c>
      <c r="D1013" s="9" t="s">
        <v>808</v>
      </c>
      <c r="E1013" s="10" t="s">
        <v>65</v>
      </c>
      <c r="F1013" s="66">
        <v>18.2</v>
      </c>
      <c r="G1013" s="66">
        <v>197.3</v>
      </c>
      <c r="H1013" s="66">
        <v>17.7</v>
      </c>
    </row>
    <row r="1014" spans="1:8" ht="24" customHeight="1" x14ac:dyDescent="0.2">
      <c r="A1014" s="9" t="s">
        <v>809</v>
      </c>
      <c r="B1014" s="9" t="s">
        <v>13</v>
      </c>
      <c r="C1014" s="9"/>
      <c r="D1014" s="9"/>
      <c r="E1014" s="10" t="s">
        <v>810</v>
      </c>
      <c r="F1014" s="66">
        <f>F1015+F1018+F1023+F1030</f>
        <v>178995</v>
      </c>
      <c r="G1014" s="66">
        <f>G1015+G1018+G1023+G1030</f>
        <v>178028.00000000003</v>
      </c>
      <c r="H1014" s="66">
        <f>H1015+H1018+H1023+H1030</f>
        <v>178028.00000000003</v>
      </c>
    </row>
    <row r="1015" spans="1:8" ht="22.5" customHeight="1" x14ac:dyDescent="0.2">
      <c r="A1015" s="13" t="s">
        <v>811</v>
      </c>
      <c r="B1015" s="9" t="s">
        <v>13</v>
      </c>
      <c r="C1015" s="9"/>
      <c r="D1015" s="9"/>
      <c r="E1015" s="10" t="s">
        <v>812</v>
      </c>
      <c r="F1015" s="66">
        <f t="shared" ref="F1015:H1016" si="195">F1016</f>
        <v>7548.1900000000005</v>
      </c>
      <c r="G1015" s="66">
        <f t="shared" si="195"/>
        <v>7225.3</v>
      </c>
      <c r="H1015" s="66">
        <f t="shared" si="195"/>
        <v>7225.3</v>
      </c>
    </row>
    <row r="1016" spans="1:8" ht="68.25" customHeight="1" x14ac:dyDescent="0.2">
      <c r="A1016" s="13" t="s">
        <v>811</v>
      </c>
      <c r="B1016" s="9" t="s">
        <v>78</v>
      </c>
      <c r="C1016" s="9"/>
      <c r="D1016" s="9"/>
      <c r="E1016" s="10" t="s">
        <v>79</v>
      </c>
      <c r="F1016" s="66">
        <f t="shared" si="195"/>
        <v>7548.1900000000005</v>
      </c>
      <c r="G1016" s="66">
        <f t="shared" si="195"/>
        <v>7225.3</v>
      </c>
      <c r="H1016" s="66">
        <f t="shared" si="195"/>
        <v>7225.3</v>
      </c>
    </row>
    <row r="1017" spans="1:8" ht="30.75" customHeight="1" x14ac:dyDescent="0.2">
      <c r="A1017" s="13" t="s">
        <v>811</v>
      </c>
      <c r="B1017" s="9" t="s">
        <v>795</v>
      </c>
      <c r="C1017" s="9" t="s">
        <v>64</v>
      </c>
      <c r="D1017" s="9" t="s">
        <v>813</v>
      </c>
      <c r="E1017" s="10" t="s">
        <v>796</v>
      </c>
      <c r="F1017" s="69">
        <f>7225.3+322.89</f>
        <v>7548.1900000000005</v>
      </c>
      <c r="G1017" s="69">
        <v>7225.3</v>
      </c>
      <c r="H1017" s="69">
        <v>7225.3</v>
      </c>
    </row>
    <row r="1018" spans="1:8" s="4" customFormat="1" ht="34.5" customHeight="1" x14ac:dyDescent="0.2">
      <c r="A1018" s="9" t="s">
        <v>814</v>
      </c>
      <c r="B1018" s="9" t="s">
        <v>13</v>
      </c>
      <c r="C1018" s="9"/>
      <c r="D1018" s="9"/>
      <c r="E1018" s="10" t="s">
        <v>815</v>
      </c>
      <c r="F1018" s="66">
        <f>F1019+F1022</f>
        <v>8326.64</v>
      </c>
      <c r="G1018" s="66">
        <f>G1019+G1022</f>
        <v>8300.6</v>
      </c>
      <c r="H1018" s="66">
        <f>H1019+H1022</f>
        <v>8300.6</v>
      </c>
    </row>
    <row r="1019" spans="1:8" s="4" customFormat="1" ht="68.25" customHeight="1" x14ac:dyDescent="0.2">
      <c r="A1019" s="9" t="s">
        <v>814</v>
      </c>
      <c r="B1019" s="9" t="s">
        <v>78</v>
      </c>
      <c r="C1019" s="9"/>
      <c r="D1019" s="9"/>
      <c r="E1019" s="10" t="s">
        <v>79</v>
      </c>
      <c r="F1019" s="66">
        <f>F1020</f>
        <v>7756.44</v>
      </c>
      <c r="G1019" s="66">
        <f>G1020</f>
        <v>7730.4</v>
      </c>
      <c r="H1019" s="66">
        <f>H1020</f>
        <v>7730.4</v>
      </c>
    </row>
    <row r="1020" spans="1:8" s="4" customFormat="1" ht="33.75" customHeight="1" x14ac:dyDescent="0.2">
      <c r="A1020" s="9" t="s">
        <v>814</v>
      </c>
      <c r="B1020" s="9" t="s">
        <v>795</v>
      </c>
      <c r="C1020" s="9" t="s">
        <v>761</v>
      </c>
      <c r="D1020" s="9" t="s">
        <v>816</v>
      </c>
      <c r="E1020" s="10" t="s">
        <v>796</v>
      </c>
      <c r="F1020" s="66">
        <f>6300.4+1430+26.04</f>
        <v>7756.44</v>
      </c>
      <c r="G1020" s="66">
        <f>6300.4+1430</f>
        <v>7730.4</v>
      </c>
      <c r="H1020" s="66">
        <f>6300.4+1430</f>
        <v>7730.4</v>
      </c>
    </row>
    <row r="1021" spans="1:8" s="4" customFormat="1" ht="36.75" customHeight="1" x14ac:dyDescent="0.2">
      <c r="A1021" s="9" t="s">
        <v>814</v>
      </c>
      <c r="B1021" s="9" t="s">
        <v>61</v>
      </c>
      <c r="C1021" s="9"/>
      <c r="D1021" s="9"/>
      <c r="E1021" s="10" t="s">
        <v>62</v>
      </c>
      <c r="F1021" s="69">
        <f>F1022</f>
        <v>570.20000000000005</v>
      </c>
      <c r="G1021" s="69">
        <f>G1022</f>
        <v>570.20000000000005</v>
      </c>
      <c r="H1021" s="69">
        <f>H1022</f>
        <v>570.20000000000005</v>
      </c>
    </row>
    <row r="1022" spans="1:8" s="4" customFormat="1" ht="36.75" customHeight="1" x14ac:dyDescent="0.2">
      <c r="A1022" s="9" t="s">
        <v>814</v>
      </c>
      <c r="B1022" s="9" t="s">
        <v>63</v>
      </c>
      <c r="C1022" s="9" t="s">
        <v>761</v>
      </c>
      <c r="D1022" s="9" t="s">
        <v>816</v>
      </c>
      <c r="E1022" s="10" t="s">
        <v>65</v>
      </c>
      <c r="F1022" s="69">
        <v>570.20000000000005</v>
      </c>
      <c r="G1022" s="69">
        <v>570.20000000000005</v>
      </c>
      <c r="H1022" s="69">
        <v>570.20000000000005</v>
      </c>
    </row>
    <row r="1023" spans="1:8" s="4" customFormat="1" ht="21" customHeight="1" x14ac:dyDescent="0.2">
      <c r="A1023" s="14" t="s">
        <v>817</v>
      </c>
      <c r="B1023" s="14" t="s">
        <v>13</v>
      </c>
      <c r="C1023" s="14"/>
      <c r="D1023" s="14"/>
      <c r="E1023" s="10" t="s">
        <v>818</v>
      </c>
      <c r="F1023" s="66">
        <f>F1024+F1028</f>
        <v>130304.87000000001</v>
      </c>
      <c r="G1023" s="66">
        <f>G1024+G1028</f>
        <v>129829.90000000001</v>
      </c>
      <c r="H1023" s="66">
        <f>H1024+H1028</f>
        <v>129829.90000000001</v>
      </c>
    </row>
    <row r="1024" spans="1:8" s="4" customFormat="1" ht="69" customHeight="1" x14ac:dyDescent="0.2">
      <c r="A1024" s="9" t="s">
        <v>817</v>
      </c>
      <c r="B1024" s="9" t="s">
        <v>78</v>
      </c>
      <c r="C1024" s="9"/>
      <c r="D1024" s="9"/>
      <c r="E1024" s="10" t="s">
        <v>79</v>
      </c>
      <c r="F1024" s="69">
        <f>F1025+F1026+F1027</f>
        <v>130010.27</v>
      </c>
      <c r="G1024" s="69">
        <f>G1025+G1026+G1027</f>
        <v>129457.3</v>
      </c>
      <c r="H1024" s="69">
        <f>H1025+H1026+H1027</f>
        <v>129457.3</v>
      </c>
    </row>
    <row r="1025" spans="1:8" s="4" customFormat="1" ht="36" customHeight="1" x14ac:dyDescent="0.2">
      <c r="A1025" s="9" t="s">
        <v>817</v>
      </c>
      <c r="B1025" s="9" t="s">
        <v>795</v>
      </c>
      <c r="C1025" s="9" t="s">
        <v>64</v>
      </c>
      <c r="D1025" s="9" t="s">
        <v>819</v>
      </c>
      <c r="E1025" s="10" t="s">
        <v>796</v>
      </c>
      <c r="F1025" s="69">
        <f>107960.2-134+474.85</f>
        <v>108301.05</v>
      </c>
      <c r="G1025" s="69">
        <f>107960.2-134</f>
        <v>107826.2</v>
      </c>
      <c r="H1025" s="69">
        <f>107960.2-134</f>
        <v>107826.2</v>
      </c>
    </row>
    <row r="1026" spans="1:8" s="4" customFormat="1" ht="36" customHeight="1" x14ac:dyDescent="0.2">
      <c r="A1026" s="9" t="s">
        <v>817</v>
      </c>
      <c r="B1026" s="9" t="s">
        <v>795</v>
      </c>
      <c r="C1026" s="9" t="s">
        <v>24</v>
      </c>
      <c r="D1026" s="9" t="s">
        <v>106</v>
      </c>
      <c r="E1026" s="10" t="s">
        <v>796</v>
      </c>
      <c r="F1026" s="66">
        <f>10280.1+39.06</f>
        <v>10319.16</v>
      </c>
      <c r="G1026" s="66">
        <v>10280.1</v>
      </c>
      <c r="H1026" s="66">
        <v>10280.1</v>
      </c>
    </row>
    <row r="1027" spans="1:8" s="4" customFormat="1" ht="36" customHeight="1" x14ac:dyDescent="0.2">
      <c r="A1027" s="9" t="s">
        <v>817</v>
      </c>
      <c r="B1027" s="9" t="s">
        <v>795</v>
      </c>
      <c r="C1027" s="9" t="s">
        <v>219</v>
      </c>
      <c r="D1027" s="9" t="s">
        <v>820</v>
      </c>
      <c r="E1027" s="10" t="s">
        <v>796</v>
      </c>
      <c r="F1027" s="66">
        <f>11351+39.06</f>
        <v>11390.06</v>
      </c>
      <c r="G1027" s="66">
        <v>11351</v>
      </c>
      <c r="H1027" s="66">
        <v>11351</v>
      </c>
    </row>
    <row r="1028" spans="1:8" s="4" customFormat="1" ht="32.1" customHeight="1" x14ac:dyDescent="0.2">
      <c r="A1028" s="9" t="s">
        <v>817</v>
      </c>
      <c r="B1028" s="9" t="s">
        <v>61</v>
      </c>
      <c r="C1028" s="9"/>
      <c r="D1028" s="9"/>
      <c r="E1028" s="10" t="s">
        <v>62</v>
      </c>
      <c r="F1028" s="69">
        <f>F1029</f>
        <v>294.60000000000002</v>
      </c>
      <c r="G1028" s="69">
        <f>G1029</f>
        <v>372.6</v>
      </c>
      <c r="H1028" s="69">
        <f>H1029</f>
        <v>372.6</v>
      </c>
    </row>
    <row r="1029" spans="1:8" s="4" customFormat="1" ht="39" customHeight="1" x14ac:dyDescent="0.2">
      <c r="A1029" s="9" t="s">
        <v>817</v>
      </c>
      <c r="B1029" s="9" t="s">
        <v>63</v>
      </c>
      <c r="C1029" s="9" t="s">
        <v>64</v>
      </c>
      <c r="D1029" s="9" t="s">
        <v>819</v>
      </c>
      <c r="E1029" s="10" t="s">
        <v>65</v>
      </c>
      <c r="F1029" s="81">
        <f>272.6+100-50-28</f>
        <v>294.60000000000002</v>
      </c>
      <c r="G1029" s="69">
        <f>272.6+100</f>
        <v>372.6</v>
      </c>
      <c r="H1029" s="69">
        <f>272.6+100</f>
        <v>372.6</v>
      </c>
    </row>
    <row r="1030" spans="1:8" ht="33" customHeight="1" x14ac:dyDescent="0.2">
      <c r="A1030" s="9" t="s">
        <v>821</v>
      </c>
      <c r="B1030" s="9" t="s">
        <v>13</v>
      </c>
      <c r="C1030" s="9"/>
      <c r="D1030" s="9"/>
      <c r="E1030" s="10" t="s">
        <v>822</v>
      </c>
      <c r="F1030" s="66">
        <f>F1031+F1033+F1035</f>
        <v>32815.300000000003</v>
      </c>
      <c r="G1030" s="66">
        <f>G1031+G1033+G1035</f>
        <v>32672.2</v>
      </c>
      <c r="H1030" s="66">
        <f>H1031+H1033+H1035</f>
        <v>32672.2</v>
      </c>
    </row>
    <row r="1031" spans="1:8" ht="64.5" customHeight="1" x14ac:dyDescent="0.2">
      <c r="A1031" s="9" t="s">
        <v>821</v>
      </c>
      <c r="B1031" s="9" t="s">
        <v>78</v>
      </c>
      <c r="C1031" s="9"/>
      <c r="D1031" s="9"/>
      <c r="E1031" s="10" t="s">
        <v>79</v>
      </c>
      <c r="F1031" s="66">
        <f t="shared" ref="F1031:F1035" si="196">F1032</f>
        <v>31631.574209999999</v>
      </c>
      <c r="G1031" s="66">
        <f t="shared" ref="G1031:G1035" si="197">G1032</f>
        <v>31769.5</v>
      </c>
      <c r="H1031" s="66">
        <f t="shared" ref="H1031:H1035" si="198">H1032</f>
        <v>31769.5</v>
      </c>
    </row>
    <row r="1032" spans="1:8" ht="35.25" customHeight="1" x14ac:dyDescent="0.2">
      <c r="A1032" s="9" t="s">
        <v>821</v>
      </c>
      <c r="B1032" s="9" t="s">
        <v>795</v>
      </c>
      <c r="C1032" s="9" t="s">
        <v>778</v>
      </c>
      <c r="D1032" s="9" t="s">
        <v>823</v>
      </c>
      <c r="E1032" s="10" t="s">
        <v>796</v>
      </c>
      <c r="F1032" s="66">
        <f>32769.5-1000+65.1-103.87366-99.15213</f>
        <v>31631.574209999999</v>
      </c>
      <c r="G1032" s="66">
        <f>32769.5-1000</f>
        <v>31769.5</v>
      </c>
      <c r="H1032" s="66">
        <f>32769.5-1000</f>
        <v>31769.5</v>
      </c>
    </row>
    <row r="1033" spans="1:8" ht="33" customHeight="1" x14ac:dyDescent="0.2">
      <c r="A1033" s="9" t="s">
        <v>821</v>
      </c>
      <c r="B1033" s="9" t="s">
        <v>61</v>
      </c>
      <c r="C1033" s="9"/>
      <c r="D1033" s="9"/>
      <c r="E1033" s="10" t="s">
        <v>62</v>
      </c>
      <c r="F1033" s="66">
        <f t="shared" si="196"/>
        <v>980.7</v>
      </c>
      <c r="G1033" s="66">
        <f t="shared" si="197"/>
        <v>902.7</v>
      </c>
      <c r="H1033" s="66">
        <f t="shared" si="198"/>
        <v>902.7</v>
      </c>
    </row>
    <row r="1034" spans="1:8" ht="37.5" customHeight="1" x14ac:dyDescent="0.2">
      <c r="A1034" s="9" t="s">
        <v>821</v>
      </c>
      <c r="B1034" s="9" t="s">
        <v>63</v>
      </c>
      <c r="C1034" s="9" t="s">
        <v>778</v>
      </c>
      <c r="D1034" s="9" t="s">
        <v>823</v>
      </c>
      <c r="E1034" s="10" t="s">
        <v>65</v>
      </c>
      <c r="F1034" s="77">
        <f>902.7+50+28</f>
        <v>980.7</v>
      </c>
      <c r="G1034" s="66">
        <v>902.7</v>
      </c>
      <c r="H1034" s="66">
        <v>902.7</v>
      </c>
    </row>
    <row r="1035" spans="1:8" ht="24" customHeight="1" x14ac:dyDescent="0.2">
      <c r="A1035" s="15" t="s">
        <v>821</v>
      </c>
      <c r="B1035" s="15" t="s">
        <v>217</v>
      </c>
      <c r="C1035" s="59"/>
      <c r="D1035" s="59"/>
      <c r="E1035" s="21" t="s">
        <v>218</v>
      </c>
      <c r="F1035" s="66">
        <f t="shared" si="196"/>
        <v>203.02579</v>
      </c>
      <c r="G1035" s="66">
        <f t="shared" si="197"/>
        <v>0</v>
      </c>
      <c r="H1035" s="66">
        <f t="shared" si="198"/>
        <v>0</v>
      </c>
    </row>
    <row r="1036" spans="1:8" ht="42" customHeight="1" x14ac:dyDescent="0.2">
      <c r="A1036" s="15" t="s">
        <v>821</v>
      </c>
      <c r="B1036" s="15" t="s">
        <v>824</v>
      </c>
      <c r="C1036" s="9" t="s">
        <v>778</v>
      </c>
      <c r="D1036" s="9" t="s">
        <v>823</v>
      </c>
      <c r="E1036" s="22" t="s">
        <v>825</v>
      </c>
      <c r="F1036" s="66">
        <f>103.87366+99.15213</f>
        <v>203.02579</v>
      </c>
      <c r="G1036" s="66">
        <v>0</v>
      </c>
      <c r="H1036" s="66">
        <v>0</v>
      </c>
    </row>
    <row r="1037" spans="1:8" ht="12.75" x14ac:dyDescent="0.2">
      <c r="A1037" s="2"/>
      <c r="B1037" s="2"/>
      <c r="C1037" s="2"/>
      <c r="D1037" s="2"/>
      <c r="E1037" s="2"/>
      <c r="G1037" s="60"/>
      <c r="H1037" s="60"/>
    </row>
    <row r="1038" spans="1:8" ht="12.75" x14ac:dyDescent="0.2">
      <c r="A1038" s="2"/>
      <c r="B1038" s="2"/>
      <c r="C1038" s="2"/>
      <c r="D1038" s="2"/>
      <c r="E1038" s="2"/>
      <c r="G1038" s="60"/>
      <c r="H1038" s="60"/>
    </row>
    <row r="1039" spans="1:8" ht="12.75" x14ac:dyDescent="0.2">
      <c r="A1039" s="3"/>
      <c r="B1039" s="3"/>
      <c r="C1039" s="3"/>
      <c r="D1039" s="3"/>
      <c r="E1039" s="3"/>
      <c r="G1039" s="60"/>
    </row>
    <row r="1040" spans="1:8" ht="12.75" x14ac:dyDescent="0.2">
      <c r="A1040" s="2"/>
      <c r="B1040" s="2"/>
      <c r="C1040" s="2"/>
      <c r="D1040" s="2"/>
      <c r="E1040" s="2"/>
      <c r="G1040" s="60"/>
    </row>
    <row r="1041" spans="1:7" ht="12.75" x14ac:dyDescent="0.2">
      <c r="A1041" s="2"/>
      <c r="B1041" s="2"/>
      <c r="C1041" s="2"/>
      <c r="D1041" s="2"/>
      <c r="E1041" s="2"/>
      <c r="G1041" s="60"/>
    </row>
    <row r="1042" spans="1:7" ht="15.75" x14ac:dyDescent="0.2">
      <c r="A1042" s="61"/>
      <c r="B1042" s="61"/>
      <c r="C1042" s="61"/>
      <c r="D1042" s="61"/>
      <c r="E1042" s="62"/>
      <c r="G1042" s="60"/>
    </row>
  </sheetData>
  <autoFilter ref="A6:K1036"/>
  <mergeCells count="9">
    <mergeCell ref="E1:H1"/>
    <mergeCell ref="F2:H2"/>
    <mergeCell ref="A3:H3"/>
    <mergeCell ref="F4:H4"/>
    <mergeCell ref="A4:A5"/>
    <mergeCell ref="B4:B5"/>
    <mergeCell ref="C4:C5"/>
    <mergeCell ref="D4:D5"/>
    <mergeCell ref="E4:E5"/>
  </mergeCells>
  <pageMargins left="0.98425196850393704" right="0.59055118110236204" top="0.59055118110236204" bottom="0.43307086614173201" header="0.47244094488188998" footer="0.43307086614173201"/>
  <pageSetup paperSize="9" scale="5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2025-2027</vt:lpstr>
      <vt:lpstr>'2025-2027'!Область_печати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Моисеева Наталья Евгеньевна</cp:lastModifiedBy>
  <cp:lastPrinted>2025-09-26T09:54:05Z</cp:lastPrinted>
  <dcterms:created xsi:type="dcterms:W3CDTF">2005-01-13T07:38:00Z</dcterms:created>
  <dcterms:modified xsi:type="dcterms:W3CDTF">2025-09-26T09:54:16Z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B52A5A5542F04DFC956160078E694E1A_13</vt:lpwstr>
  </property>
  <property fmtid="{D5CDD505-2E9C-101B-9397-08002B2CF9AE}" pid="3" name="KSOProductBuildVer">
    <vt:lpwstr>1049-12.2.0.21546</vt:lpwstr>
  </property>
</Properties>
</file>